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erkuti\Documents\TADAEEM\Close Out Feb 2021\Guides-Manuals Final\SWM SDIP\"/>
    </mc:Choice>
  </mc:AlternateContent>
  <xr:revisionPtr revIDLastSave="0" documentId="8_{A63D804E-69BB-4CF7-B452-74BA5BC8693D}" xr6:coauthVersionLast="45" xr6:coauthVersionMax="45" xr10:uidLastSave="{00000000-0000-0000-0000-000000000000}"/>
  <bookViews>
    <workbookView xWindow="1140" yWindow="600" windowWidth="17310" windowHeight="10200" tabRatio="380" xr2:uid="{00000000-000D-0000-FFFF-FFFF00000000}"/>
  </bookViews>
  <sheets>
    <sheet name="Calcul" sheetId="56" r:id="rId1"/>
    <sheet name="Bdd" sheetId="3" r:id="rId2"/>
  </sheets>
  <definedNames>
    <definedName name="S0">#REF!</definedName>
    <definedName name="Véhicul" localSheetId="0">#REF!</definedName>
    <definedName name="Véhicu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9" i="56" l="1"/>
  <c r="AK29" i="56" s="1"/>
  <c r="AH30" i="56"/>
  <c r="AK30" i="56" s="1"/>
  <c r="AH35" i="56"/>
  <c r="AK35" i="56" s="1"/>
  <c r="BG31" i="56" l="1"/>
  <c r="BG32" i="56"/>
  <c r="BG33" i="56"/>
  <c r="BG34" i="56"/>
  <c r="BG35" i="56"/>
  <c r="BG36" i="56"/>
  <c r="BG37" i="56"/>
  <c r="BG38" i="56"/>
  <c r="BG39" i="56"/>
  <c r="BG40" i="56"/>
  <c r="BG41" i="56"/>
  <c r="BG30" i="56"/>
  <c r="BG29" i="56"/>
  <c r="BI29" i="56"/>
  <c r="BI30" i="56"/>
  <c r="BI31" i="56"/>
  <c r="BI32" i="56"/>
  <c r="BI33" i="56"/>
  <c r="BI34" i="56"/>
  <c r="BI35" i="56"/>
  <c r="BI36" i="56"/>
  <c r="BI37" i="56"/>
  <c r="BI38" i="56"/>
  <c r="BI39" i="56"/>
  <c r="BI40" i="56"/>
  <c r="BI41" i="56"/>
  <c r="BE29" i="56"/>
  <c r="BE30" i="56"/>
  <c r="BE31" i="56"/>
  <c r="BE32" i="56"/>
  <c r="BE33" i="56"/>
  <c r="BE34" i="56"/>
  <c r="BE35" i="56"/>
  <c r="BE36" i="56"/>
  <c r="BE37" i="56"/>
  <c r="BE38" i="56"/>
  <c r="BE39" i="56"/>
  <c r="BE40" i="56"/>
  <c r="BE41" i="56"/>
  <c r="BJ41" i="56" l="1"/>
  <c r="BK41" i="56"/>
  <c r="BJ40" i="56"/>
  <c r="BK40" i="56"/>
  <c r="BJ39" i="56"/>
  <c r="BK39" i="56"/>
  <c r="BJ38" i="56"/>
  <c r="BK38" i="56"/>
  <c r="BJ37" i="56"/>
  <c r="BK37" i="56"/>
  <c r="BJ36" i="56"/>
  <c r="BK36" i="56"/>
  <c r="BJ35" i="56"/>
  <c r="BK35" i="56"/>
  <c r="BJ34" i="56"/>
  <c r="BK34" i="56"/>
  <c r="BJ33" i="56"/>
  <c r="BK33" i="56"/>
  <c r="BJ32" i="56"/>
  <c r="BK32" i="56"/>
  <c r="BJ31" i="56"/>
  <c r="BK31" i="56"/>
  <c r="BJ30" i="56"/>
  <c r="BK30" i="56"/>
  <c r="BJ29" i="56"/>
  <c r="BK29" i="56"/>
  <c r="AH33" i="56"/>
  <c r="AK33" i="56" s="1"/>
  <c r="BO29" i="56"/>
  <c r="T30" i="56" l="1"/>
  <c r="T36" i="56"/>
  <c r="BM42" i="56" l="1"/>
  <c r="BN42" i="56"/>
  <c r="BO30" i="56"/>
  <c r="BO31" i="56"/>
  <c r="BO32" i="56"/>
  <c r="BO33" i="56"/>
  <c r="BO34" i="56"/>
  <c r="BO35" i="56"/>
  <c r="BO36" i="56"/>
  <c r="BO37" i="56"/>
  <c r="BO38" i="56"/>
  <c r="BO39" i="56"/>
  <c r="BO40" i="56"/>
  <c r="BO41" i="56"/>
  <c r="M29" i="56"/>
  <c r="P29" i="56" s="1"/>
  <c r="M30" i="56"/>
  <c r="P30" i="56" s="1"/>
  <c r="M31" i="56"/>
  <c r="P31" i="56" s="1"/>
  <c r="M32" i="56"/>
  <c r="P32" i="56" s="1"/>
  <c r="M33" i="56"/>
  <c r="P33" i="56" s="1"/>
  <c r="M34" i="56"/>
  <c r="P34" i="56" s="1"/>
  <c r="M35" i="56"/>
  <c r="P35" i="56" s="1"/>
  <c r="M36" i="56"/>
  <c r="P36" i="56" s="1"/>
  <c r="M37" i="56"/>
  <c r="P37" i="56" s="1"/>
  <c r="M38" i="56"/>
  <c r="P38" i="56" s="1"/>
  <c r="M39" i="56"/>
  <c r="P39" i="56" s="1"/>
  <c r="M40" i="56"/>
  <c r="P40" i="56" s="1"/>
  <c r="M41" i="56"/>
  <c r="P41" i="56" s="1"/>
  <c r="D42" i="56"/>
  <c r="E42" i="56"/>
  <c r="Y42" i="56"/>
  <c r="AA42" i="56"/>
  <c r="AC42" i="56"/>
  <c r="AD42" i="56"/>
  <c r="AE42" i="56"/>
  <c r="AU42" i="56"/>
  <c r="BD42" i="56"/>
  <c r="BH42" i="56"/>
  <c r="BL42" i="56"/>
  <c r="BO42" i="56" l="1"/>
  <c r="M42" i="56"/>
  <c r="K41" i="56"/>
  <c r="O41" i="56" s="1"/>
  <c r="N41" i="56" s="1"/>
  <c r="J41" i="56"/>
  <c r="T41" i="56" s="1"/>
  <c r="W41" i="56"/>
  <c r="AB41" i="56"/>
  <c r="AF41" i="56"/>
  <c r="AH41" i="56"/>
  <c r="AX41" i="56"/>
  <c r="AZ41" i="56"/>
  <c r="BA41" i="56" s="1"/>
  <c r="K31" i="56"/>
  <c r="O31" i="56" s="1"/>
  <c r="N31" i="56" s="1"/>
  <c r="K32" i="56"/>
  <c r="O32" i="56" s="1"/>
  <c r="N32" i="56" s="1"/>
  <c r="K34" i="56"/>
  <c r="O34" i="56" s="1"/>
  <c r="N34" i="56" s="1"/>
  <c r="K36" i="56"/>
  <c r="O36" i="56" s="1"/>
  <c r="N36" i="56" s="1"/>
  <c r="J31" i="56"/>
  <c r="T31" i="56" s="1"/>
  <c r="J32" i="56"/>
  <c r="T32" i="56" s="1"/>
  <c r="J33" i="56"/>
  <c r="T33" i="56" s="1"/>
  <c r="J34" i="56"/>
  <c r="T34" i="56" s="1"/>
  <c r="J35" i="56"/>
  <c r="T35" i="56" s="1"/>
  <c r="J36" i="56"/>
  <c r="K33" i="56"/>
  <c r="O33" i="56" s="1"/>
  <c r="N33" i="56" s="1"/>
  <c r="K35" i="56"/>
  <c r="O35" i="56" s="1"/>
  <c r="N35" i="56" s="1"/>
  <c r="W31" i="56"/>
  <c r="X31" i="56" s="1"/>
  <c r="W32" i="56"/>
  <c r="X32" i="56" s="1"/>
  <c r="W33" i="56"/>
  <c r="X33" i="56" s="1"/>
  <c r="W34" i="56"/>
  <c r="W35" i="56"/>
  <c r="X35" i="56" s="1"/>
  <c r="W36" i="56"/>
  <c r="X36" i="56" s="1"/>
  <c r="AB31" i="56"/>
  <c r="AB32" i="56"/>
  <c r="AB33" i="56"/>
  <c r="AB34" i="56"/>
  <c r="AB35" i="56"/>
  <c r="AB36" i="56"/>
  <c r="AF31" i="56"/>
  <c r="AF32" i="56"/>
  <c r="AF33" i="56"/>
  <c r="AF34" i="56"/>
  <c r="AF35" i="56"/>
  <c r="AF36" i="56"/>
  <c r="AH31" i="56"/>
  <c r="AK31" i="56" s="1"/>
  <c r="AH32" i="56"/>
  <c r="AL33" i="56"/>
  <c r="AH34" i="56"/>
  <c r="AK34" i="56" s="1"/>
  <c r="AH36" i="56"/>
  <c r="AK36" i="56" s="1"/>
  <c r="AX31" i="56"/>
  <c r="AX32" i="56"/>
  <c r="AX33" i="56"/>
  <c r="AX34" i="56"/>
  <c r="AX35" i="56"/>
  <c r="AX36" i="56"/>
  <c r="AZ31" i="56"/>
  <c r="BA31" i="56" s="1"/>
  <c r="AZ32" i="56"/>
  <c r="BA32" i="56" s="1"/>
  <c r="AZ33" i="56"/>
  <c r="BA33" i="56" s="1"/>
  <c r="AZ34" i="56"/>
  <c r="BA34" i="56" s="1"/>
  <c r="AZ35" i="56"/>
  <c r="BA35" i="56" s="1"/>
  <c r="AZ36" i="56"/>
  <c r="BA36" i="56" s="1"/>
  <c r="K37" i="56"/>
  <c r="O37" i="56" s="1"/>
  <c r="N37" i="56" s="1"/>
  <c r="J37" i="56"/>
  <c r="T37" i="56" s="1"/>
  <c r="W37" i="56"/>
  <c r="AB37" i="56"/>
  <c r="AF37" i="56"/>
  <c r="AH37" i="56"/>
  <c r="AX37" i="56"/>
  <c r="AZ37" i="56"/>
  <c r="BA37" i="56" s="1"/>
  <c r="K30" i="56"/>
  <c r="O30" i="56" s="1"/>
  <c r="N30" i="56" s="1"/>
  <c r="K38" i="56"/>
  <c r="O38" i="56" s="1"/>
  <c r="N38" i="56" s="1"/>
  <c r="J30" i="56"/>
  <c r="J38" i="56"/>
  <c r="T38" i="56" s="1"/>
  <c r="W30" i="56"/>
  <c r="X30" i="56" s="1"/>
  <c r="W38" i="56"/>
  <c r="X38" i="56" s="1"/>
  <c r="AB30" i="56"/>
  <c r="AB38" i="56"/>
  <c r="AF30" i="56"/>
  <c r="BR30" i="56" s="1"/>
  <c r="AF38" i="56"/>
  <c r="AH38" i="56"/>
  <c r="AX30" i="56"/>
  <c r="AX38" i="56"/>
  <c r="AZ30" i="56"/>
  <c r="BA30" i="56" s="1"/>
  <c r="AZ38" i="56"/>
  <c r="BA38" i="56" s="1"/>
  <c r="K39" i="56"/>
  <c r="O39" i="56" s="1"/>
  <c r="N39" i="56" s="1"/>
  <c r="J39" i="56"/>
  <c r="T39" i="56" s="1"/>
  <c r="W39" i="56"/>
  <c r="AB39" i="56"/>
  <c r="AF39" i="56"/>
  <c r="AH39" i="56"/>
  <c r="AX39" i="56"/>
  <c r="AZ39" i="56"/>
  <c r="BA39" i="56" s="1"/>
  <c r="K40" i="56"/>
  <c r="O40" i="56" s="1"/>
  <c r="N40" i="56" s="1"/>
  <c r="J40" i="56"/>
  <c r="T40" i="56" s="1"/>
  <c r="W40" i="56"/>
  <c r="AB40" i="56"/>
  <c r="AF40" i="56"/>
  <c r="AH40" i="56"/>
  <c r="AX40" i="56"/>
  <c r="AZ40" i="56"/>
  <c r="BA40" i="56" s="1"/>
  <c r="AL37" i="56" l="1"/>
  <c r="AK37" i="56"/>
  <c r="AM40" i="56"/>
  <c r="AK40" i="56"/>
  <c r="AL39" i="56"/>
  <c r="AK39" i="56"/>
  <c r="AL32" i="56"/>
  <c r="AK32" i="56"/>
  <c r="AT32" i="56" s="1"/>
  <c r="AM38" i="56"/>
  <c r="AK38" i="56"/>
  <c r="AL41" i="56"/>
  <c r="AK41" i="56"/>
  <c r="BR34" i="56"/>
  <c r="BR41" i="56"/>
  <c r="BT41" i="56" s="1"/>
  <c r="BR35" i="56"/>
  <c r="BR40" i="56"/>
  <c r="BT40" i="56" s="1"/>
  <c r="BR39" i="56"/>
  <c r="BR38" i="56"/>
  <c r="BR31" i="56"/>
  <c r="BT31" i="56" s="1"/>
  <c r="BR37" i="56"/>
  <c r="BT37" i="56" s="1"/>
  <c r="BR33" i="56"/>
  <c r="BR36" i="56"/>
  <c r="BR32" i="56"/>
  <c r="BP39" i="56"/>
  <c r="AS39" i="56"/>
  <c r="BP30" i="56"/>
  <c r="AS30" i="56"/>
  <c r="BP36" i="56"/>
  <c r="AS36" i="56"/>
  <c r="BP32" i="56"/>
  <c r="AS32" i="56"/>
  <c r="BP40" i="56"/>
  <c r="AS40" i="56"/>
  <c r="BP35" i="56"/>
  <c r="AS35" i="56"/>
  <c r="AS31" i="56"/>
  <c r="BP41" i="56"/>
  <c r="AS41" i="56"/>
  <c r="BP37" i="56"/>
  <c r="AS37" i="56"/>
  <c r="BP34" i="56"/>
  <c r="AS34" i="56"/>
  <c r="BP38" i="56"/>
  <c r="AS38" i="56"/>
  <c r="BP33" i="56"/>
  <c r="AS33" i="56"/>
  <c r="AG31" i="56"/>
  <c r="BP31" i="56"/>
  <c r="U30" i="56"/>
  <c r="AG30" i="56"/>
  <c r="U35" i="56"/>
  <c r="AG35" i="56"/>
  <c r="U34" i="56"/>
  <c r="AG34" i="56"/>
  <c r="BC41" i="56"/>
  <c r="AG41" i="56"/>
  <c r="AG40" i="56"/>
  <c r="BB39" i="56"/>
  <c r="AG39" i="56"/>
  <c r="U33" i="56"/>
  <c r="AG33" i="56"/>
  <c r="U38" i="56"/>
  <c r="AG38" i="56"/>
  <c r="U37" i="56"/>
  <c r="AG37" i="56"/>
  <c r="U36" i="56"/>
  <c r="AG36" i="56"/>
  <c r="U32" i="56"/>
  <c r="AG32" i="56"/>
  <c r="CD35" i="56"/>
  <c r="CD36" i="56"/>
  <c r="CD39" i="56"/>
  <c r="CD33" i="56"/>
  <c r="CD34" i="56"/>
  <c r="CD41" i="56"/>
  <c r="CD31" i="56"/>
  <c r="CD32" i="56"/>
  <c r="CD38" i="56"/>
  <c r="CD30" i="56"/>
  <c r="AH42" i="56"/>
  <c r="BB33" i="56"/>
  <c r="AL35" i="56"/>
  <c r="BB32" i="56"/>
  <c r="AO35" i="56"/>
  <c r="AP35" i="56" s="1"/>
  <c r="BC33" i="56"/>
  <c r="BB31" i="56"/>
  <c r="AM35" i="56"/>
  <c r="BC31" i="56"/>
  <c r="BT36" i="56"/>
  <c r="AO34" i="56"/>
  <c r="AP34" i="56" s="1"/>
  <c r="AM34" i="56"/>
  <c r="AO36" i="56"/>
  <c r="AP36" i="56" s="1"/>
  <c r="AM36" i="56"/>
  <c r="BT32" i="56"/>
  <c r="AM32" i="56"/>
  <c r="AL34" i="56"/>
  <c r="BQ31" i="56"/>
  <c r="BS31" i="56" s="1"/>
  <c r="AO32" i="56"/>
  <c r="AP32" i="56" s="1"/>
  <c r="AL36" i="56"/>
  <c r="AL31" i="56"/>
  <c r="AM31" i="56"/>
  <c r="AO37" i="56"/>
  <c r="AP37" i="56" s="1"/>
  <c r="AO31" i="56"/>
  <c r="AP31" i="56" s="1"/>
  <c r="AT33" i="56"/>
  <c r="BC32" i="56"/>
  <c r="AO33" i="56"/>
  <c r="AP33" i="56" s="1"/>
  <c r="AM33" i="56"/>
  <c r="BC30" i="56"/>
  <c r="AL30" i="56"/>
  <c r="AM30" i="56" s="1"/>
  <c r="BC36" i="56"/>
  <c r="BB36" i="56"/>
  <c r="AO30" i="56"/>
  <c r="AP30" i="56" s="1"/>
  <c r="BT34" i="56"/>
  <c r="U31" i="56"/>
  <c r="AT36" i="56"/>
  <c r="AT31" i="56"/>
  <c r="BQ34" i="56"/>
  <c r="BS34" i="56" s="1"/>
  <c r="BC37" i="56"/>
  <c r="BC35" i="56"/>
  <c r="BB35" i="56"/>
  <c r="AT35" i="56"/>
  <c r="AO38" i="56"/>
  <c r="AP38" i="56" s="1"/>
  <c r="AL38" i="56"/>
  <c r="BC34" i="56"/>
  <c r="BB34" i="56"/>
  <c r="BT35" i="56"/>
  <c r="AT38" i="56"/>
  <c r="BT33" i="56"/>
  <c r="BQ36" i="56"/>
  <c r="BQ32" i="56"/>
  <c r="BS32" i="56" s="1"/>
  <c r="BQ35" i="56"/>
  <c r="BQ33" i="56"/>
  <c r="X34" i="56"/>
  <c r="BQ41" i="56"/>
  <c r="BS41" i="56" s="1"/>
  <c r="BT38" i="56"/>
  <c r="BB38" i="56"/>
  <c r="BC38" i="56"/>
  <c r="BB30" i="56"/>
  <c r="AT34" i="56"/>
  <c r="BQ38" i="56"/>
  <c r="BS38" i="56" s="1"/>
  <c r="BT30" i="56"/>
  <c r="BB41" i="56"/>
  <c r="U41" i="56"/>
  <c r="BQ40" i="56"/>
  <c r="BS40" i="56" s="1"/>
  <c r="AO41" i="56"/>
  <c r="AP41" i="56" s="1"/>
  <c r="AM41" i="56"/>
  <c r="AT41" i="56"/>
  <c r="AT30" i="56"/>
  <c r="X41" i="56"/>
  <c r="BQ30" i="56"/>
  <c r="BS30" i="56" s="1"/>
  <c r="AM39" i="56"/>
  <c r="BQ37" i="56"/>
  <c r="BS37" i="56" s="1"/>
  <c r="X37" i="56"/>
  <c r="BB37" i="56"/>
  <c r="AT37" i="56"/>
  <c r="AM37" i="56"/>
  <c r="U40" i="56"/>
  <c r="BB40" i="56"/>
  <c r="AT39" i="56"/>
  <c r="BQ39" i="56"/>
  <c r="BS39" i="56" s="1"/>
  <c r="BC39" i="56"/>
  <c r="AO39" i="56"/>
  <c r="AP39" i="56" s="1"/>
  <c r="U39" i="56"/>
  <c r="BC40" i="56"/>
  <c r="BT39" i="56"/>
  <c r="X39" i="56"/>
  <c r="AO40" i="56"/>
  <c r="AP40" i="56" s="1"/>
  <c r="X40" i="56"/>
  <c r="AL40" i="56"/>
  <c r="AT40" i="56"/>
  <c r="BU36" i="56" l="1"/>
  <c r="BV41" i="56"/>
  <c r="BZ35" i="56"/>
  <c r="BZ36" i="56"/>
  <c r="BZ30" i="56"/>
  <c r="BZ37" i="56"/>
  <c r="BZ34" i="56"/>
  <c r="BX31" i="56"/>
  <c r="BX32" i="56"/>
  <c r="BW31" i="56"/>
  <c r="BZ38" i="56"/>
  <c r="BZ32" i="56"/>
  <c r="BW35" i="56"/>
  <c r="BZ33" i="56"/>
  <c r="BW33" i="56"/>
  <c r="BX34" i="56"/>
  <c r="BW36" i="56"/>
  <c r="BZ31" i="56"/>
  <c r="BU34" i="56"/>
  <c r="BW30" i="56"/>
  <c r="BU31" i="56"/>
  <c r="BV39" i="56"/>
  <c r="CA39" i="56"/>
  <c r="BW32" i="56"/>
  <c r="BS36" i="56"/>
  <c r="BX36" i="56" s="1"/>
  <c r="BU33" i="56"/>
  <c r="BU35" i="56"/>
  <c r="BU32" i="56"/>
  <c r="BU38" i="56"/>
  <c r="BW38" i="56"/>
  <c r="BW34" i="56"/>
  <c r="BS33" i="56"/>
  <c r="BX33" i="56" s="1"/>
  <c r="CA40" i="56"/>
  <c r="CD40" i="56"/>
  <c r="CA37" i="56"/>
  <c r="CD37" i="56"/>
  <c r="BS35" i="56"/>
  <c r="BX35" i="56" s="1"/>
  <c r="BZ41" i="56"/>
  <c r="BX38" i="56"/>
  <c r="BX41" i="56"/>
  <c r="BW41" i="56"/>
  <c r="CA41" i="56"/>
  <c r="BU41" i="56"/>
  <c r="BV34" i="56"/>
  <c r="CA34" i="56"/>
  <c r="CA33" i="56"/>
  <c r="BV33" i="56"/>
  <c r="CA36" i="56"/>
  <c r="BV36" i="56"/>
  <c r="BV35" i="56"/>
  <c r="CA35" i="56"/>
  <c r="BV32" i="56"/>
  <c r="CA32" i="56"/>
  <c r="BV31" i="56"/>
  <c r="CA31" i="56"/>
  <c r="BX37" i="56"/>
  <c r="BU30" i="56"/>
  <c r="BW40" i="56"/>
  <c r="BX30" i="56"/>
  <c r="BU37" i="56"/>
  <c r="BV38" i="56"/>
  <c r="CA38" i="56"/>
  <c r="BW37" i="56"/>
  <c r="BV30" i="56"/>
  <c r="CA30" i="56"/>
  <c r="BZ40" i="56"/>
  <c r="BZ39" i="56"/>
  <c r="BU39" i="56"/>
  <c r="BX39" i="56"/>
  <c r="BW39" i="56"/>
  <c r="BX40" i="56"/>
  <c r="BU40" i="56"/>
  <c r="BV40" i="56" l="1"/>
  <c r="BV37" i="56"/>
  <c r="BI42" i="56" l="1"/>
  <c r="BE42" i="56"/>
  <c r="AZ29" i="56"/>
  <c r="BA29" i="56" s="1"/>
  <c r="AX29" i="56"/>
  <c r="AO29" i="56"/>
  <c r="AP29" i="56" s="1"/>
  <c r="AL29" i="56"/>
  <c r="AM29" i="56" s="1"/>
  <c r="AF29" i="56"/>
  <c r="BR29" i="56" s="1"/>
  <c r="AB29" i="56"/>
  <c r="BQ29" i="56" s="1"/>
  <c r="W29" i="56"/>
  <c r="K29" i="56"/>
  <c r="O29" i="56" s="1"/>
  <c r="N29" i="56" s="1"/>
  <c r="J29" i="56"/>
  <c r="T29" i="56" s="1"/>
  <c r="AS29" i="56" l="1"/>
  <c r="AB42" i="56"/>
  <c r="BQ42" i="56"/>
  <c r="AG29" i="56"/>
  <c r="AG42" i="56" s="1"/>
  <c r="BP29" i="56"/>
  <c r="K42" i="56"/>
  <c r="N42" i="56" s="1"/>
  <c r="BR42" i="56"/>
  <c r="AF42" i="56"/>
  <c r="X29" i="56"/>
  <c r="X42" i="56" s="1"/>
  <c r="W42" i="56"/>
  <c r="BJ42" i="56"/>
  <c r="AT29" i="56"/>
  <c r="BB29" i="56"/>
  <c r="BK42" i="56"/>
  <c r="T42" i="56"/>
  <c r="U29" i="56"/>
  <c r="U42" i="56" s="1"/>
  <c r="BC29" i="56"/>
  <c r="BZ29" i="56" l="1"/>
  <c r="BZ42" i="56" s="1"/>
  <c r="P42" i="56"/>
  <c r="O42" i="56"/>
  <c r="BW29" i="56"/>
  <c r="BW42" i="56" s="1"/>
  <c r="CA29" i="56"/>
  <c r="CA42" i="56" s="1"/>
  <c r="BU29" i="56"/>
  <c r="BU42" i="56" s="1"/>
  <c r="BS29" i="56"/>
  <c r="BS42" i="56" s="1"/>
  <c r="BT29" i="56"/>
  <c r="BT42" i="56" s="1"/>
  <c r="BV29" i="56"/>
  <c r="BV42" i="56" l="1"/>
  <c r="BX29" i="56"/>
  <c r="BX42" i="56" s="1"/>
  <c r="CD29" i="56"/>
  <c r="CD42" i="56" s="1"/>
  <c r="E35" i="3" l="1"/>
  <c r="BY40" i="56" l="1"/>
  <c r="CE40" i="56" s="1"/>
  <c r="CF40" i="56" s="1"/>
  <c r="CG40" i="56" s="1"/>
  <c r="CH40" i="56" s="1"/>
  <c r="BY34" i="56"/>
  <c r="CE34" i="56" s="1"/>
  <c r="CF34" i="56" s="1"/>
  <c r="CG34" i="56" s="1"/>
  <c r="CH34" i="56" s="1"/>
  <c r="BY37" i="56"/>
  <c r="CE37" i="56" s="1"/>
  <c r="CF37" i="56" s="1"/>
  <c r="CG37" i="56" s="1"/>
  <c r="CH37" i="56" s="1"/>
  <c r="BY41" i="56"/>
  <c r="CE41" i="56" s="1"/>
  <c r="CF41" i="56" s="1"/>
  <c r="CG41" i="56" s="1"/>
  <c r="CH41" i="56" s="1"/>
  <c r="BY30" i="56"/>
  <c r="CE30" i="56" s="1"/>
  <c r="CF30" i="56" s="1"/>
  <c r="CG30" i="56" s="1"/>
  <c r="CH30" i="56" s="1"/>
  <c r="BY38" i="56"/>
  <c r="CE38" i="56" s="1"/>
  <c r="CF38" i="56" s="1"/>
  <c r="CG38" i="56" s="1"/>
  <c r="CH38" i="56" s="1"/>
  <c r="BY32" i="56"/>
  <c r="CE32" i="56" s="1"/>
  <c r="CF32" i="56" s="1"/>
  <c r="CG32" i="56" s="1"/>
  <c r="CH32" i="56" s="1"/>
  <c r="BY33" i="56"/>
  <c r="CE33" i="56" s="1"/>
  <c r="CF33" i="56" s="1"/>
  <c r="CG33" i="56" s="1"/>
  <c r="CH33" i="56" s="1"/>
  <c r="BY31" i="56"/>
  <c r="CE31" i="56" s="1"/>
  <c r="CF31" i="56" s="1"/>
  <c r="CG31" i="56" s="1"/>
  <c r="CH31" i="56" s="1"/>
  <c r="BY35" i="56"/>
  <c r="CE35" i="56" s="1"/>
  <c r="CF35" i="56" s="1"/>
  <c r="CG35" i="56" s="1"/>
  <c r="CH35" i="56" s="1"/>
  <c r="BY39" i="56"/>
  <c r="CE39" i="56" s="1"/>
  <c r="CF39" i="56" s="1"/>
  <c r="CG39" i="56" s="1"/>
  <c r="CH39" i="56" s="1"/>
  <c r="BY36" i="56"/>
  <c r="CE36" i="56" s="1"/>
  <c r="CF36" i="56" s="1"/>
  <c r="CG36" i="56" s="1"/>
  <c r="CH36" i="56" s="1"/>
  <c r="BY29" i="56"/>
  <c r="CE29" i="56" s="1"/>
  <c r="BY42" i="56" l="1"/>
  <c r="CE42" i="56" l="1"/>
  <c r="CF29" i="56"/>
  <c r="CF42" i="56" s="1"/>
  <c r="CG29" i="56" l="1"/>
  <c r="CG42" i="56" l="1"/>
  <c r="CH42" i="56" s="1"/>
  <c r="CH29" i="56"/>
</calcChain>
</file>

<file path=xl/sharedStrings.xml><?xml version="1.0" encoding="utf-8"?>
<sst xmlns="http://schemas.openxmlformats.org/spreadsheetml/2006/main" count="300" uniqueCount="216">
  <si>
    <t>Secteurs en régie</t>
  </si>
  <si>
    <t>Gafsa</t>
  </si>
  <si>
    <t>Tonnages</t>
  </si>
  <si>
    <t>Véhicule collecte : amortissement technique, réparation, GO, salaires</t>
  </si>
  <si>
    <t>Pick-Up</t>
  </si>
  <si>
    <t>trax</t>
  </si>
  <si>
    <t>Conteneurs, brouettes et balayage</t>
  </si>
  <si>
    <t>Tenues de travail</t>
  </si>
  <si>
    <t>Totaux  TND /an</t>
  </si>
  <si>
    <t>Secteur</t>
  </si>
  <si>
    <t>Quartiers</t>
  </si>
  <si>
    <t>Circuit</t>
  </si>
  <si>
    <t>Véhicule</t>
  </si>
  <si>
    <t>V : m3</t>
  </si>
  <si>
    <t>densité DMA</t>
  </si>
  <si>
    <t>Nb voyage</t>
  </si>
  <si>
    <t>fréq/an</t>
  </si>
  <si>
    <t>taux fréq</t>
  </si>
  <si>
    <t>Tmax/ séance</t>
  </si>
  <si>
    <t>T col / V</t>
  </si>
  <si>
    <t>T col / séance</t>
  </si>
  <si>
    <t>Taux remplissage</t>
  </si>
  <si>
    <t>T Max T/an</t>
  </si>
  <si>
    <t>Tcol/an</t>
  </si>
  <si>
    <t>Achat / don</t>
  </si>
  <si>
    <t>Prix Achat</t>
  </si>
  <si>
    <t>durée Amort</t>
  </si>
  <si>
    <t>Amo VC</t>
  </si>
  <si>
    <t>Rép VC</t>
  </si>
  <si>
    <t>GO VC (l)</t>
  </si>
  <si>
    <t>GO VC d/an</t>
  </si>
  <si>
    <t>Lub VC d/an</t>
  </si>
  <si>
    <t>Chauf P</t>
  </si>
  <si>
    <t>Chau OM</t>
  </si>
  <si>
    <t>Chau OD</t>
  </si>
  <si>
    <t>chauf maj</t>
  </si>
  <si>
    <t>Ouv P</t>
  </si>
  <si>
    <t>Ouv OM</t>
  </si>
  <si>
    <t>Ouv OD</t>
  </si>
  <si>
    <t>Ebou maj</t>
  </si>
  <si>
    <t>salaires VCTND/an</t>
  </si>
  <si>
    <t>Nb Pick-up</t>
  </si>
  <si>
    <t>Don</t>
  </si>
  <si>
    <t>Bud Com</t>
  </si>
  <si>
    <t>Prix Pup</t>
  </si>
  <si>
    <t>Durée Am Pup</t>
  </si>
  <si>
    <t>Amo Pup</t>
  </si>
  <si>
    <t>GO Pup</t>
  </si>
  <si>
    <t>GO Pup TND/an</t>
  </si>
  <si>
    <t>Lub Pup TND/an</t>
  </si>
  <si>
    <t>Ouv P (PK)</t>
  </si>
  <si>
    <t>Ouv OM (PK)</t>
  </si>
  <si>
    <t>Salaire Pup TND/an</t>
  </si>
  <si>
    <t>Rép Pup TND/an</t>
  </si>
  <si>
    <t>Nb Tx</t>
  </si>
  <si>
    <t>Prix Tx</t>
  </si>
  <si>
    <t>Durée Am</t>
  </si>
  <si>
    <t>Am Tx TND/an</t>
  </si>
  <si>
    <t>GO Tx l/séance</t>
  </si>
  <si>
    <t>GO TND/an</t>
  </si>
  <si>
    <t>Lub Tx TND/an</t>
  </si>
  <si>
    <t>Répar Tx TND/an</t>
  </si>
  <si>
    <t>Salaire TND/an</t>
  </si>
  <si>
    <t>Nb C770</t>
  </si>
  <si>
    <t>C770 TND/an</t>
  </si>
  <si>
    <t>Nb C240</t>
  </si>
  <si>
    <t>C240 TND/an3</t>
  </si>
  <si>
    <t>Nb Brouettes</t>
  </si>
  <si>
    <t>Brouettes TND/an</t>
  </si>
  <si>
    <t>Am C+b</t>
  </si>
  <si>
    <t>Rép Cont</t>
  </si>
  <si>
    <t>Nb Ouv P</t>
  </si>
  <si>
    <t>Nb OM</t>
  </si>
  <si>
    <t>Nb OD</t>
  </si>
  <si>
    <t>Balayage PC</t>
  </si>
  <si>
    <t>salaire pré-col TND/an</t>
  </si>
  <si>
    <t>Total 1 chaffeurs</t>
  </si>
  <si>
    <t>Total 2 ouvriers</t>
  </si>
  <si>
    <t>Tenues chauf TND</t>
  </si>
  <si>
    <t>Tenues ouv TND</t>
  </si>
  <si>
    <t>Total 1+2</t>
  </si>
  <si>
    <t>Amort</t>
  </si>
  <si>
    <t>Salaires</t>
  </si>
  <si>
    <t>Tenues travail</t>
  </si>
  <si>
    <t>Lait</t>
  </si>
  <si>
    <t>Gasoil+ Lub</t>
  </si>
  <si>
    <t>Réparation</t>
  </si>
  <si>
    <t>Assurance</t>
  </si>
  <si>
    <t>Taxe</t>
  </si>
  <si>
    <t>Frais décharge</t>
  </si>
  <si>
    <t>Frais exploitatio</t>
  </si>
  <si>
    <t>Frais généraux</t>
  </si>
  <si>
    <t xml:space="preserve">Coût total </t>
  </si>
  <si>
    <t>TND/tonne</t>
  </si>
  <si>
    <t>Ennour</t>
  </si>
  <si>
    <t>Quartier A</t>
  </si>
  <si>
    <t>C1</t>
  </si>
  <si>
    <t>BT16</t>
  </si>
  <si>
    <t>Essourour</t>
  </si>
  <si>
    <t>Quartier C</t>
  </si>
  <si>
    <t>C2</t>
  </si>
  <si>
    <t>Quartier B</t>
  </si>
  <si>
    <t>C3</t>
  </si>
  <si>
    <t>Tag</t>
  </si>
  <si>
    <t>Qaurtier D</t>
  </si>
  <si>
    <t>C4</t>
  </si>
  <si>
    <t>Cbb3.5</t>
  </si>
  <si>
    <t>Quartier E</t>
  </si>
  <si>
    <t>C5</t>
  </si>
  <si>
    <t>Farhat Hached</t>
  </si>
  <si>
    <t>Quartier F</t>
  </si>
  <si>
    <t>C6</t>
  </si>
  <si>
    <t>Quartier G</t>
  </si>
  <si>
    <t>C7</t>
  </si>
  <si>
    <t>Quartier H</t>
  </si>
  <si>
    <t>C8</t>
  </si>
  <si>
    <t>BT7</t>
  </si>
  <si>
    <t>Taieb M'Hiri</t>
  </si>
  <si>
    <t>Quartier I</t>
  </si>
  <si>
    <t>C9</t>
  </si>
  <si>
    <t>Quartier J</t>
  </si>
  <si>
    <t>C10</t>
  </si>
  <si>
    <t>Quartier K</t>
  </si>
  <si>
    <t>C11</t>
  </si>
  <si>
    <t>Quartier L</t>
  </si>
  <si>
    <t>C12</t>
  </si>
  <si>
    <t>Quartier M</t>
  </si>
  <si>
    <t>C13</t>
  </si>
  <si>
    <t>Chauffeur permanent</t>
  </si>
  <si>
    <t>Chauf OM</t>
  </si>
  <si>
    <t>Chauffeur occasionnel municipal</t>
  </si>
  <si>
    <t>Chauffeur OD</t>
  </si>
  <si>
    <t>Chauffeur occasionnel délégation</t>
  </si>
  <si>
    <t>Hypothèses de calcul</t>
  </si>
  <si>
    <t>La Bdd prend en compte les données de la commune, si non disponible, utiliser les ratios recommandés par les experts internationaux (Banque Mondiale)</t>
  </si>
  <si>
    <t>Prix des équipements</t>
  </si>
  <si>
    <t>Amortissement technique</t>
  </si>
  <si>
    <t>N/O</t>
  </si>
  <si>
    <t>Désignation</t>
  </si>
  <si>
    <t>Prix Neuf</t>
  </si>
  <si>
    <t>durée amortissement</t>
  </si>
  <si>
    <t>Noter que:
- si l'âge du véhicule est ˃ 10 ans , prendre la durée = 10
- si l'âge du véhicule est ≤ 10 ans, la durée est = à l'âge</t>
  </si>
  <si>
    <t>C770</t>
  </si>
  <si>
    <t>Conteneur 770 l</t>
  </si>
  <si>
    <t>C240</t>
  </si>
  <si>
    <t>Contenur 240 l</t>
  </si>
  <si>
    <t xml:space="preserve">Brouette </t>
  </si>
  <si>
    <t>Brouette à bras</t>
  </si>
  <si>
    <t>Caisson 30m3</t>
  </si>
  <si>
    <t>Caisson en acier</t>
  </si>
  <si>
    <t>BT20</t>
  </si>
  <si>
    <t>Camion à benne tasseuse 20 m3</t>
  </si>
  <si>
    <t>Camion à benne tasseuse 16 m3</t>
  </si>
  <si>
    <t>BT12</t>
  </si>
  <si>
    <t>Camion à benne tasseuse 12 m3</t>
  </si>
  <si>
    <t>Camion à benne tasseuse 7 m3</t>
  </si>
  <si>
    <t>Camion à benne basculante PTAC 3,5 t</t>
  </si>
  <si>
    <t>Tracteur et remorque agricole</t>
  </si>
  <si>
    <t>Camionnette équipée de benne basculante DMA</t>
  </si>
  <si>
    <t>Camion Ampli roll</t>
  </si>
  <si>
    <t>Camion polybras pour préhension de caisson</t>
  </si>
  <si>
    <t>Données liées à l'exploitation</t>
  </si>
  <si>
    <t>Unité</t>
  </si>
  <si>
    <t>Valeur</t>
  </si>
  <si>
    <t>Prix du gasoil</t>
  </si>
  <si>
    <t>dt/litre</t>
  </si>
  <si>
    <t>Lubrifiants (6% consommation GO)</t>
  </si>
  <si>
    <t>%</t>
  </si>
  <si>
    <t>Réparation (MO + pièces , pneus, batteries) : 6% à 15% (prix matériel)</t>
  </si>
  <si>
    <t>Fréquence moyenne de la collecte /an</t>
  </si>
  <si>
    <t>Nombre</t>
  </si>
  <si>
    <t>Charges salariales % (des salaires nets)</t>
  </si>
  <si>
    <t>FG : frais généraux % (par rapport aux fraix d'exploitation)</t>
  </si>
  <si>
    <t>FGB : frais généraux + bénéfices (privé)</t>
  </si>
  <si>
    <t>unité</t>
  </si>
  <si>
    <t>Salaire net moyen d'un chauffeur / ouvrier Permanent dans une commune</t>
  </si>
  <si>
    <t>dt/an</t>
  </si>
  <si>
    <t>Salaire net moyen d'un chauffeur / ouvrier OM</t>
  </si>
  <si>
    <t>Salaire net moyen chaffeur / ouvrier secteur privé</t>
  </si>
  <si>
    <t>Nombre de jours chomés /an</t>
  </si>
  <si>
    <t>jours</t>
  </si>
  <si>
    <t>Majoration pour jours chomés commune</t>
  </si>
  <si>
    <t>taux</t>
  </si>
  <si>
    <t>Majoration pour jours chomés secteur privé</t>
  </si>
  <si>
    <t>Tenue de travail pour un chauffeur</t>
  </si>
  <si>
    <t>Tenue de travail pour un ouvrier</t>
  </si>
  <si>
    <t>un litre de lait (un litre /agent.jour)</t>
  </si>
  <si>
    <t>dt/l</t>
  </si>
  <si>
    <t xml:space="preserve">Frais Transfert / enfouissement (ANGed) </t>
  </si>
  <si>
    <t>dt/t</t>
  </si>
  <si>
    <t>Consommation moyenne de gasoil par type de véhicule de collecte et par séance de travail</t>
  </si>
  <si>
    <t xml:space="preserve">Type de véhicule </t>
  </si>
  <si>
    <t>Unité/ séance collecte</t>
  </si>
  <si>
    <t>consommation moyenne</t>
  </si>
  <si>
    <t>litres</t>
  </si>
  <si>
    <t xml:space="preserve">BT12 </t>
  </si>
  <si>
    <t>Cbb3,5</t>
  </si>
  <si>
    <t>Cbb7</t>
  </si>
  <si>
    <t>Ampli roll</t>
  </si>
  <si>
    <t>Pick-up</t>
  </si>
  <si>
    <t xml:space="preserve">Densité des DMA dans les équipements de pré-collecte / collecte / transport </t>
  </si>
  <si>
    <t>Equipement</t>
  </si>
  <si>
    <t>Valeur moyenne</t>
  </si>
  <si>
    <t>Poubelle, conteneurs</t>
  </si>
  <si>
    <t>Tonne/m3</t>
  </si>
  <si>
    <t>Camion benne tasseuse (BT ou BOM) V &gt; 7 m3</t>
  </si>
  <si>
    <t>Camion benne tasseuse (BT ou BOM) V = 7 m3</t>
  </si>
  <si>
    <t>Camion à benne bascualante (Cbb)</t>
  </si>
  <si>
    <t>Tracteur et remorque compactrice</t>
  </si>
  <si>
    <t>Circuits</t>
  </si>
  <si>
    <t>Engins</t>
  </si>
  <si>
    <t>Assurances</t>
  </si>
  <si>
    <t>Taxes</t>
  </si>
  <si>
    <t>pelle mécanique</t>
  </si>
  <si>
    <t>trax/ Bobcat</t>
  </si>
  <si>
    <t>Bobcat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</si>
</sst>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</cellStyleXfs>
  <cellXfs count="135">
    <xf numFmtId="0" fontId="0" fillId="0" borderId="0" xfId="0"/>
    <xf numFmtId="0" fontId="5" fillId="0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2" fontId="4" fillId="5" borderId="6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1" fontId="4" fillId="5" borderId="7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1" fontId="4" fillId="5" borderId="12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14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9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Alignment="1"/>
    <xf numFmtId="0" fontId="3" fillId="5" borderId="8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1" fontId="8" fillId="7" borderId="6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5" borderId="25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E2901E08-F96E-487C-BA3B-6FAFE97DB2A6}"/>
    <cellStyle name="Normal 3" xfId="3" xr:uid="{F3823B7A-43FC-46A4-B7CC-95F135F465DB}"/>
    <cellStyle name="Percent" xfId="1" builtinId="5"/>
  </cellStyles>
  <dxfs count="190"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outline="0">
        <left/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border outline="0">
        <left/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04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0.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FF99"/>
      <color rgb="FF0000FF"/>
      <color rgb="FFCCFF99"/>
      <color rgb="FFFF00FF"/>
      <color rgb="FF00FFFF"/>
      <color rgb="FFFF6699"/>
      <color rgb="FF99FF66"/>
      <color rgb="FF33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95250</xdr:rowOff>
    </xdr:from>
    <xdr:to>
      <xdr:col>14</xdr:col>
      <xdr:colOff>342900</xdr:colOff>
      <xdr:row>22</xdr:row>
      <xdr:rowOff>133350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0"/>
          <a:ext cx="8715375" cy="403860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624" displayName="Tableau624" ref="B28:CH42" totalsRowCount="1" headerRowDxfId="185" dataDxfId="183" totalsRowDxfId="181" headerRowBorderDxfId="184" tableBorderDxfId="182" totalsRowBorderDxfId="180">
  <autoFilter ref="B28:CH41" xr:uid="{00000000-0009-0000-0100-000003000000}"/>
  <tableColumns count="85">
    <tableColumn id="66" xr3:uid="{00000000-0010-0000-0000-000042000000}" name="Secteur" dataDxfId="179" totalsRowDxfId="178"/>
    <tableColumn id="2" xr3:uid="{00000000-0010-0000-0000-000002000000}" name="Quartiers" dataDxfId="177" totalsRowDxfId="176"/>
    <tableColumn id="69" xr3:uid="{00000000-0010-0000-0000-000045000000}" name="Circuit" totalsRowFunction="count" dataDxfId="175" totalsRowDxfId="174"/>
    <tableColumn id="67" xr3:uid="{00000000-0010-0000-0000-000043000000}" name="Véhicule" totalsRowFunction="count" dataDxfId="173" totalsRowDxfId="172"/>
    <tableColumn id="4" xr3:uid="{00000000-0010-0000-0000-000004000000}" name="V : m3" dataDxfId="171" totalsRowDxfId="170"/>
    <tableColumn id="5" xr3:uid="{00000000-0010-0000-0000-000005000000}" name="densité DMA" dataDxfId="169" totalsRowDxfId="168">
      <calculatedColumnFormula>VLOOKUP(Tableau624[[#This Row],[Véhicule]],Bdd!$B$4:$E$18,7,FALSE)</calculatedColumnFormula>
    </tableColumn>
    <tableColumn id="6" xr3:uid="{00000000-0010-0000-0000-000006000000}" name="Nb voyage" dataDxfId="167" totalsRowDxfId="166">
      <calculatedColumnFormula>#REF!</calculatedColumnFormula>
    </tableColumn>
    <tableColumn id="7" xr3:uid="{00000000-0010-0000-0000-000007000000}" name="fréq/an" dataDxfId="165" totalsRowDxfId="164"/>
    <tableColumn id="8" xr3:uid="{00000000-0010-0000-0000-000008000000}" name="taux fréq" dataDxfId="163" totalsRowDxfId="162">
      <calculatedColumnFormula>Tableau624[[#This Row],[fréq/an]]/Bdd!$E$25</calculatedColumnFormula>
    </tableColumn>
    <tableColumn id="9" xr3:uid="{00000000-0010-0000-0000-000009000000}" name="Tmax/ séance" totalsRowFunction="sum" dataDxfId="161" totalsRowDxfId="160">
      <calculatedColumnFormula>Tableau624[[#This Row],[Nb voyage]]*Tableau624[[#This Row],[densité DMA]]*Tableau624[[#This Row],[V : m3]]</calculatedColumnFormula>
    </tableColumn>
    <tableColumn id="71" xr3:uid="{00000000-0010-0000-0000-000047000000}" name="T col / V" dataDxfId="159" totalsRowDxfId="158"/>
    <tableColumn id="70" xr3:uid="{00000000-0010-0000-0000-000046000000}" name="T col / séance" totalsRowFunction="sum" dataDxfId="157" totalsRowDxfId="156">
      <calculatedColumnFormula>Tableau624[[#This Row],[Nb voyage]]*Tableau624[[#This Row],[T col / V]]</calculatedColumnFormula>
    </tableColumn>
    <tableColumn id="10" xr3:uid="{00000000-0010-0000-0000-00000A000000}" name="Taux remplissage" totalsRowFunction="custom" dataDxfId="155" totalsRowDxfId="154">
      <calculatedColumnFormula>Tableau624[[#This Row],[Tcol/an]]/Tableau624[[#This Row],[T Max T/an]]</calculatedColumnFormula>
      <totalsRowFormula>Tableau624[[#Totals],[T col / séance]]/Tableau624[[#Totals],[Tmax/ séance]]</totalsRowFormula>
    </tableColumn>
    <tableColumn id="11" xr3:uid="{00000000-0010-0000-0000-00000B000000}" name="T Max T/an" totalsRowFunction="sum" dataDxfId="153" totalsRowDxfId="152">
      <calculatedColumnFormula>Tableau624[[#This Row],[fréq/an]]*Tableau624[[#This Row],[Tmax/ séance]]</calculatedColumnFormula>
    </tableColumn>
    <tableColumn id="14" xr3:uid="{00000000-0010-0000-0000-00000E000000}" name="Tcol/an" totalsRowFunction="sum" dataDxfId="151" totalsRowDxfId="150">
      <calculatedColumnFormula>Tableau624[[#This Row],[fréq/an]]*Tableau624[[#This Row],[T col / séance]]</calculatedColumnFormula>
    </tableColumn>
    <tableColumn id="28" xr3:uid="{00000000-0010-0000-0000-00001C000000}" name="Achat / don" dataDxfId="149" totalsRowDxfId="148"/>
    <tableColumn id="17" xr3:uid="{00000000-0010-0000-0000-000011000000}" name="Prix Achat" dataDxfId="147" totalsRowDxfId="146"/>
    <tableColumn id="16" xr3:uid="{00000000-0010-0000-0000-000010000000}" name="durée Amort" dataDxfId="145" totalsRowDxfId="144"/>
    <tableColumn id="3" xr3:uid="{00000000-0010-0000-0000-000003000000}" name="Amo VC" totalsRowFunction="sum" dataDxfId="143" totalsRowDxfId="142">
      <calculatedColumnFormula>(IF(Tableau624[[#This Row],[Achat / don]]&gt;0,(Tableau624[[#This Row],[taux fréq]]*Tableau624[[#This Row],[Prix Achat]])/Tableau624[[#This Row],[durée Amort]],0))</calculatedColumnFormula>
    </tableColumn>
    <tableColumn id="36" xr3:uid="{00000000-0010-0000-0000-000024000000}" name="Rép VC" totalsRowFunction="sum" dataDxfId="141" totalsRowDxfId="140">
      <calculatedColumnFormula>Tableau624[[#This Row],[taux fréq]]*Tableau624[[#This Row],[Prix Achat]]*Bdd!$E$24</calculatedColumnFormula>
    </tableColumn>
    <tableColumn id="76" xr3:uid="{00000000-0010-0000-0000-00004C000000}" name="GO VC (l)" dataDxfId="139" totalsRowDxfId="138">
      <calculatedColumnFormula>#REF!</calculatedColumnFormula>
    </tableColumn>
    <tableColumn id="75" xr3:uid="{00000000-0010-0000-0000-00004B000000}" name="GO VC d/an" totalsRowFunction="sum" dataDxfId="137" totalsRowDxfId="136">
      <calculatedColumnFormula>Tableau624[[#This Row],[fréq/an]]*Tableau624[[#This Row],[GO VC (l)]]*Bdd!$E$22</calculatedColumnFormula>
    </tableColumn>
    <tableColumn id="74" xr3:uid="{00000000-0010-0000-0000-00004A000000}" name="Lub VC d/an" totalsRowFunction="sum" dataDxfId="135" totalsRowDxfId="134">
      <calculatedColumnFormula>Tableau624[[#This Row],[GO VC d/an]]*Bdd!$E$23</calculatedColumnFormula>
    </tableColumn>
    <tableColumn id="21" xr3:uid="{00000000-0010-0000-0000-000015000000}" name="Chauf P" totalsRowFunction="sum" dataDxfId="133" totalsRowDxfId="132"/>
    <tableColumn id="1" xr3:uid="{00000000-0010-0000-0000-000001000000}" name="Chau OM" dataDxfId="131" totalsRowDxfId="130"/>
    <tableColumn id="29" xr3:uid="{00000000-0010-0000-0000-00001D000000}" name="Chau OD" totalsRowFunction="sum" dataDxfId="129" totalsRowDxfId="128"/>
    <tableColumn id="22" xr3:uid="{00000000-0010-0000-0000-000016000000}" name="chauf maj" totalsRowFunction="sum" dataDxfId="127" totalsRowDxfId="126">
      <calculatedColumnFormula>(Tableau624[[#This Row],[Chauf P]]+Tableau624[[#This Row],[Chau OM]]+Tableau624[[#This Row],[Chau OD]])*Bdd!$E$36</calculatedColumnFormula>
    </tableColumn>
    <tableColumn id="23" xr3:uid="{00000000-0010-0000-0000-000017000000}" name="Ouv P" totalsRowFunction="sum" dataDxfId="125" totalsRowDxfId="124">
      <calculatedColumnFormula>#REF!</calculatedColumnFormula>
    </tableColumn>
    <tableColumn id="38" xr3:uid="{00000000-0010-0000-0000-000026000000}" name="Ouv OM" totalsRowFunction="sum" dataDxfId="123" totalsRowDxfId="122"/>
    <tableColumn id="31" xr3:uid="{00000000-0010-0000-0000-00001F000000}" name="Ouv OD" totalsRowFunction="sum" dataDxfId="121" totalsRowDxfId="120"/>
    <tableColumn id="24" xr3:uid="{00000000-0010-0000-0000-000018000000}" name="Ebou maj" totalsRowFunction="sum" dataDxfId="119" totalsRowDxfId="118">
      <calculatedColumnFormula>(Tableau624[[#This Row],[Ouv P]]+Tableau624[[#This Row],[Ouv OM]]+Tableau624[[#This Row],[Ouv OD]])*Bdd!$E$36</calculatedColumnFormula>
    </tableColumn>
    <tableColumn id="27" xr3:uid="{00000000-0010-0000-0000-00001B000000}" name="salaires VCTND/an" totalsRowFunction="sum" dataDxfId="117" totalsRowDxfId="116">
      <calculatedColumnFormula>Tableau624[[#This Row],[taux fréq]]*((Tableau624[[#This Row],[Chauf P]]+Tableau624[[#This Row],[Ouv P]])*Bdd!$E$32+(Tableau624[[#This Row],[Chau OM]]+Tableau624[[#This Row],[Ouv OM]])*Bdd!$E$33)*(1+Bdd!$E$26)</calculatedColumnFormula>
    </tableColumn>
    <tableColumn id="44" xr3:uid="{00000000-0010-0000-0000-00002C000000}" name="Nb Pick-up" totalsRowFunction="sum" dataDxfId="115" totalsRowDxfId="114">
      <calculatedColumnFormula>Tableau624[[#This Row],[Don]]+Tableau624[[#This Row],[Bud Com]]</calculatedColumnFormula>
    </tableColumn>
    <tableColumn id="19" xr3:uid="{00000000-0010-0000-0000-000013000000}" name="Don" dataDxfId="113" totalsRowDxfId="112"/>
    <tableColumn id="18" xr3:uid="{00000000-0010-0000-0000-000012000000}" name="Bud Com" dataDxfId="111" totalsRowDxfId="110"/>
    <tableColumn id="55" xr3:uid="{00000000-0010-0000-0000-000037000000}" name="Prix Pup" dataDxfId="109" totalsRowDxfId="108">
      <calculatedColumnFormula>IF(Tableau624[[#This Row],[Nb Pick-up]]&gt;0,Tableau624[[#This Row],[Nb Pick-up]]*Calcul!D15,0)</calculatedColumnFormula>
    </tableColumn>
    <tableColumn id="56" xr3:uid="{00000000-0010-0000-0000-000038000000}" name="Durée Am Pup" dataDxfId="107" totalsRowDxfId="106">
      <calculatedColumnFormula>IF(Tableau624[[#This Row],[Nb Pick-up]]&gt;0,10,0)</calculatedColumnFormula>
    </tableColumn>
    <tableColumn id="57" xr3:uid="{00000000-0010-0000-0000-000039000000}" name="Amo Pup" dataDxfId="105" totalsRowDxfId="104">
      <calculatedColumnFormula>IF(Tableau624[[#This Row],[Nb Pick-up]]&gt;0,(Tableau624[[#This Row],[Bud Com]]*Tableau624[[#This Row],[Prix Pup]])/Tableau624[[#This Row],[Durée Am Pup]],0)</calculatedColumnFormula>
    </tableColumn>
    <tableColumn id="46" xr3:uid="{00000000-0010-0000-0000-00002E000000}" name="GO Pup" dataDxfId="103" totalsRowDxfId="102"/>
    <tableColumn id="58" xr3:uid="{00000000-0010-0000-0000-00003A000000}" name="GO Pup TND/an" dataDxfId="101" totalsRowDxfId="100">
      <calculatedColumnFormula>Tableau624[[#This Row],[fréq/an]]*Tableau624[[#This Row],[Nb Pick-up]]*Tableau624[[#This Row],[GO Pup]]*Bdd!$E$22</calculatedColumnFormula>
    </tableColumn>
    <tableColumn id="59" xr3:uid="{00000000-0010-0000-0000-00003B000000}" name="Lub Pup TND/an" dataDxfId="99" totalsRowDxfId="98">
      <calculatedColumnFormula>Tableau624[[#This Row],[GO Pup TND/an]]*Bdd!$E$23</calculatedColumnFormula>
    </tableColumn>
    <tableColumn id="82" xr3:uid="{00000000-0010-0000-0000-000052000000}" name="Ouv P (PK)" dataDxfId="97" totalsRowDxfId="96"/>
    <tableColumn id="81" xr3:uid="{00000000-0010-0000-0000-000051000000}" name="Ouv OM (PK)" dataDxfId="95" totalsRowDxfId="94"/>
    <tableColumn id="54" xr3:uid="{00000000-0010-0000-0000-000036000000}" name="Salaire Pup TND/an" dataDxfId="93" totalsRowDxfId="92">
      <calculatedColumnFormula>Tableau624[[#This Row],[taux fréq]]*((Tableau624[[#This Row],[Nb Pick-up]]+Tableau624[[#This Row],[Ouv P (PK)]])*Bdd!$E$32+Tableau624[[#This Row],[Ouv OM (PK)]]*Bdd!$E$33)*(1+Bdd!$E$26)*Bdd!$E$37</calculatedColumnFormula>
    </tableColumn>
    <tableColumn id="45" xr3:uid="{00000000-0010-0000-0000-00002D000000}" name="Rép Pup TND/an" dataDxfId="91" totalsRowDxfId="90">
      <calculatedColumnFormula>Tableau624[[#This Row],[taux fréq]]*Tableau624[[#This Row],[Nb Pick-up]]*Tableau624[[#This Row],[Prix Pup]]*Bdd!$E$24</calculatedColumnFormula>
    </tableColumn>
    <tableColumn id="15" xr3:uid="{00000000-0010-0000-0000-00000F000000}" name="Nb Tx" totalsRowFunction="sum" dataDxfId="89" totalsRowDxfId="88"/>
    <tableColumn id="26" xr3:uid="{00000000-0010-0000-0000-00001A000000}" name="Prix Tx" dataDxfId="87" totalsRowDxfId="86"/>
    <tableColumn id="30" xr3:uid="{00000000-0010-0000-0000-00001E000000}" name="Durée Am" dataDxfId="85" totalsRowDxfId="84"/>
    <tableColumn id="33" xr3:uid="{00000000-0010-0000-0000-000021000000}" name="Am Tx TND/an" dataDxfId="83" totalsRowDxfId="82">
      <calculatedColumnFormula>IF(Tableau624[[#This Row],[Nb Tx]]&gt;0,Tableau624[[#This Row],[taux fréq]]*Tableau624[[#This Row],[Nb Tx]]*Tableau624[[#This Row],[Prix Tx]]/Tableau624[[#This Row],[Durée Am]],0)</calculatedColumnFormula>
    </tableColumn>
    <tableColumn id="32" xr3:uid="{00000000-0010-0000-0000-000020000000}" name="GO Tx l/séance" dataDxfId="81" totalsRowDxfId="80"/>
    <tableColumn id="37" xr3:uid="{00000000-0010-0000-0000-000025000000}" name="GO TND/an" dataDxfId="79" totalsRowDxfId="78">
      <calculatedColumnFormula>Tableau624[[#This Row],[fréq/an]]*Tableau624[[#This Row],[Nb Tx]]*Tableau624[[#This Row],[GO Tx l/séance]]*Bdd!$E$22</calculatedColumnFormula>
    </tableColumn>
    <tableColumn id="35" xr3:uid="{00000000-0010-0000-0000-000023000000}" name="Lub Tx TND/an" dataDxfId="77" totalsRowDxfId="76">
      <calculatedColumnFormula>Tableau624[[#This Row],[GO TND/an]]*Bdd!$E$23</calculatedColumnFormula>
    </tableColumn>
    <tableColumn id="43" xr3:uid="{00000000-0010-0000-0000-00002B000000}" name="Répar Tx TND/an" dataDxfId="75" totalsRowDxfId="74">
      <calculatedColumnFormula>Tableau624[[#This Row],[taux fréq]]*Tableau624[[#This Row],[Nb Tx]]*Tableau624[[#This Row],[Prix Tx]]*Bdd!$E$24</calculatedColumnFormula>
    </tableColumn>
    <tableColumn id="13" xr3:uid="{00000000-0010-0000-0000-00000D000000}" name="Salaire TND/an" dataDxfId="73" totalsRowDxfId="72">
      <calculatedColumnFormula>Tableau624[[#This Row],[taux fréq]]*Tableau624[[#This Row],[Nb Tx]]*Bdd!$E$32*Bdd!$E$36*(1+Bdd!$E$26)</calculatedColumnFormula>
    </tableColumn>
    <tableColumn id="39" xr3:uid="{00000000-0010-0000-0000-000027000000}" name="Nb C770" totalsRowFunction="sum" dataDxfId="71" totalsRowDxfId="70">
      <calculatedColumnFormula>#REF!</calculatedColumnFormula>
    </tableColumn>
    <tableColumn id="40" xr3:uid="{00000000-0010-0000-0000-000028000000}" name="C770 TND/an" totalsRowFunction="sum" dataDxfId="69" totalsRowDxfId="68">
      <calculatedColumnFormula>(Tableau624[[#This Row],[Nb C770]]*Bdd!$D$5)</calculatedColumnFormula>
    </tableColumn>
    <tableColumn id="88" xr3:uid="{A0B70B4B-4583-4D7B-A8DC-13E9DAD2BE71}" name="Nb C240" dataDxfId="67" totalsRowDxfId="66"/>
    <tableColumn id="87" xr3:uid="{39D1A4C0-A3F5-4814-A47F-ACD93D4E85A9}" name="C240 TND/an3" dataDxfId="65" totalsRowDxfId="64"/>
    <tableColumn id="41" xr3:uid="{00000000-0010-0000-0000-000029000000}" name="Nb Brouettes" totalsRowFunction="sum" dataDxfId="63" totalsRowDxfId="62">
      <calculatedColumnFormula>(Tableau624[[#This Row],[T Max T/an]]*#REF!)/(Bdd!#REF!*Bdd!#REF!)</calculatedColumnFormula>
    </tableColumn>
    <tableColumn id="42" xr3:uid="{00000000-0010-0000-0000-00002A000000}" name="Brouettes TND/an" totalsRowFunction="sum" dataDxfId="61" totalsRowDxfId="60">
      <calculatedColumnFormula>(Tableau624[[#This Row],[Nb Brouettes]]*Bdd!$D$7)</calculatedColumnFormula>
    </tableColumn>
    <tableColumn id="53" xr3:uid="{00000000-0010-0000-0000-000035000000}" name="Am C+b" totalsRowFunction="sum" dataDxfId="59" totalsRowDxfId="58">
      <calculatedColumnFormula>(Tableau624[[#This Row],[C770 TND/an]]+Tableau624[[#This Row],[Brouettes TND/an]]+Tableau624[[#This Row],[C240 TND/an3]])/Bdd!$E$5</calculatedColumnFormula>
    </tableColumn>
    <tableColumn id="52" xr3:uid="{00000000-0010-0000-0000-000034000000}" name="Rép Cont" totalsRowFunction="sum" dataDxfId="57" totalsRowDxfId="56">
      <calculatedColumnFormula>(Tableau624[[#This Row],[C770 TND/an]]+Tableau624[[#This Row],[C240 TND/an3]]+Tableau624[[#This Row],[Brouettes TND/an]])*Bdd!$E$24</calculatedColumnFormula>
    </tableColumn>
    <tableColumn id="25" xr3:uid="{00000000-0010-0000-0000-000019000000}" name="Nb Ouv P" totalsRowFunction="sum" dataDxfId="55" totalsRowDxfId="54"/>
    <tableColumn id="73" xr3:uid="{00000000-0010-0000-0000-000049000000}" name="Nb OM" totalsRowFunction="sum" dataDxfId="53" totalsRowDxfId="52"/>
    <tableColumn id="72" xr3:uid="{00000000-0010-0000-0000-000048000000}" name="Nb OD" totalsRowFunction="sum" dataDxfId="51" totalsRowDxfId="50"/>
    <tableColumn id="84" xr3:uid="{00000000-0010-0000-0000-000054000000}" name="Balayage PC" totalsRowFunction="sum" dataDxfId="49" totalsRowDxfId="48">
      <calculatedColumnFormula>Tableau624[[#This Row],[Nb Ouv P]]+Tableau624[[#This Row],[Nb OM]]+Tableau624[[#This Row],[Nb OD]]</calculatedColumnFormula>
    </tableColumn>
    <tableColumn id="20" xr3:uid="{00000000-0010-0000-0000-000014000000}" name="salaire pré-col TND/an" dataDxfId="47" totalsRowDxfId="46">
      <calculatedColumnFormula>Tableau624[[#This Row],[taux fréq]]*(Tableau624[[#This Row],[Nb Ouv P]]*Bdd!$E$32+Tableau624[[#This Row],[Nb OM]]*Bdd!$E$33)*(1+Bdd!$E$26)</calculatedColumnFormula>
    </tableColumn>
    <tableColumn id="51" xr3:uid="{00000000-0010-0000-0000-000033000000}" name="Total 1 chaffeurs" totalsRowFunction="sum" dataDxfId="45" totalsRowDxfId="44">
      <calculatedColumnFormula>Tableau624[[#This Row],[chauf maj]]+Tableau624[[#This Row],[Nb Pick-up]]+Tableau624[[#This Row],[Nb Tx]]</calculatedColumnFormula>
    </tableColumn>
    <tableColumn id="60" xr3:uid="{00000000-0010-0000-0000-00003C000000}" name="Total 2 ouvriers" totalsRowFunction="sum" dataDxfId="43" totalsRowDxfId="42">
      <calculatedColumnFormula>Tableau624[[#This Row],[Ebou maj]]+Tableau624[[#This Row],[Nb Pick-up]]+Tableau624[[#This Row],[Nb Tx]]+Tableau624[[#This Row],[Nb Ouv P]]+Tableau624[[#This Row],[Nb OM]]+Tableau624[[#This Row],[Nb OD]]</calculatedColumnFormula>
    </tableColumn>
    <tableColumn id="61" xr3:uid="{00000000-0010-0000-0000-00003D000000}" name="Tenues chauf TND" totalsRowFunction="sum" dataDxfId="41" totalsRowDxfId="40">
      <calculatedColumnFormula>Tableau624[[#This Row],[Total 1 chaffeurs]]*Bdd!$E$39</calculatedColumnFormula>
    </tableColumn>
    <tableColumn id="62" xr3:uid="{00000000-0010-0000-0000-00003E000000}" name="Tenues ouv TND" totalsRowFunction="sum" dataDxfId="39" totalsRowDxfId="38">
      <calculatedColumnFormula>Tableau624[[#This Row],[Total 2 ouvriers]]*Bdd!$E$40</calculatedColumnFormula>
    </tableColumn>
    <tableColumn id="50" xr3:uid="{00000000-0010-0000-0000-000032000000}" name="Total 1+2" totalsRowFunction="sum" dataDxfId="37" totalsRowDxfId="36">
      <calculatedColumnFormula>Tableau624[[#This Row],[Total 1 chaffeurs]]+Tableau624[[#This Row],[Total 2 ouvriers]]</calculatedColumnFormula>
    </tableColumn>
    <tableColumn id="47" xr3:uid="{00000000-0010-0000-0000-00002F000000}" name="Amort" totalsRowFunction="sum" dataDxfId="35" totalsRowDxfId="34">
      <calculatedColumnFormula>Tableau624[[#This Row],[Am C+b]]+Tableau624[[#This Row],[Amo Pup]]+Tableau624[[#This Row],[Amo VC]]+Tableau624[[#This Row],[Am Tx TND/an]]</calculatedColumnFormula>
    </tableColumn>
    <tableColumn id="48" xr3:uid="{00000000-0010-0000-0000-000030000000}" name="Salaires" totalsRowFunction="sum" dataDxfId="33" totalsRowDxfId="32">
      <calculatedColumnFormula>Tableau624[[#This Row],[salaires VCTND/an]]+Tableau624[[#This Row],[Salaire Pup TND/an]]+Tableau624[[#This Row],[salaire pré-col TND/an]]+Tableau624[[#This Row],[Salaire TND/an]]</calculatedColumnFormula>
    </tableColumn>
    <tableColumn id="64" xr3:uid="{00000000-0010-0000-0000-000040000000}" name="Tenues travail" totalsRowFunction="sum" dataDxfId="31" totalsRowDxfId="30">
      <calculatedColumnFormula>Tableau624[[#This Row],[Tenues chauf TND]]+Tableau624[[#This Row],[Tenues ouv TND]]</calculatedColumnFormula>
    </tableColumn>
    <tableColumn id="63" xr3:uid="{00000000-0010-0000-0000-00003F000000}" name="Lait" totalsRowFunction="sum" dataDxfId="29" totalsRowDxfId="28">
      <calculatedColumnFormula>Tableau624[[#This Row],[Total 1+2]]*Bdd!$E$41*(Bdd!$E$25-Bdd!$E$35)</calculatedColumnFormula>
    </tableColumn>
    <tableColumn id="77" xr3:uid="{00000000-0010-0000-0000-00004D000000}" name="Gasoil+ Lub" totalsRowFunction="sum" dataDxfId="27" totalsRowDxfId="26">
      <calculatedColumnFormula>Tableau624[[#This Row],[GO VC d/an]]+Tableau624[[#This Row],[Lub VC d/an]]+Tableau624[[#This Row],[GO Pup TND/an]]+Tableau624[[#This Row],[Lub Pup TND/an]]+Tableau624[[#This Row],[GO TND/an]]+Tableau624[[#This Row],[Lub Tx TND/an]]</calculatedColumnFormula>
    </tableColumn>
    <tableColumn id="78" xr3:uid="{00000000-0010-0000-0000-00004E000000}" name="Réparation" totalsRowFunction="sum" dataDxfId="25" totalsRowDxfId="24">
      <calculatedColumnFormula>Tableau624[[#This Row],[Rép Cont]]+Tableau624[[#This Row],[Rép Pup TND/an]]+Tableau624[[#This Row],[Rép VC]]+Tableau624[[#This Row],[Répar Tx TND/an]]</calculatedColumnFormula>
    </tableColumn>
    <tableColumn id="65" xr3:uid="{E8CADE74-37D9-4089-8A99-D49A18B9F7BF}" name="Assurance" dataDxfId="23" totalsRowDxfId="22"/>
    <tableColumn id="12" xr3:uid="{C1716C5F-364E-4B59-A875-BAA74D148031}" name="Taxe" dataDxfId="21" totalsRowDxfId="20"/>
    <tableColumn id="68" xr3:uid="{00000000-0010-0000-0000-000044000000}" name="Frais décharge" totalsRowFunction="sum" dataDxfId="19" totalsRowDxfId="18">
      <calculatedColumnFormula>Tableau624[[#This Row],[Tcol/an]]*Bdd!$E$42</calculatedColumnFormula>
    </tableColumn>
    <tableColumn id="49" xr3:uid="{00000000-0010-0000-0000-000031000000}" name="Frais exploitatio" totalsRowFunction="sum" dataDxfId="17" totalsRowDxfId="16">
      <calculatedColumnFormula>Tableau624[[#This Row],[Amort]]+Tableau624[[#This Row],[Salaires]]+Tableau624[[#This Row],[Gasoil+ Lub]]+Tableau624[[#This Row],[Réparation]]+Tableau624[[#This Row],[Tenues travail]]+Tableau624[[#This Row],[Lait]]+Tableau624[[#This Row],[Frais décharge]]</calculatedColumnFormula>
    </tableColumn>
    <tableColumn id="79" xr3:uid="{00000000-0010-0000-0000-00004F000000}" name="Frais généraux" totalsRowFunction="sum" dataDxfId="15" totalsRowDxfId="14">
      <calculatedColumnFormula>Tableau624[[#This Row],[Frais exploitatio]]*Bdd!$E$27</calculatedColumnFormula>
    </tableColumn>
    <tableColumn id="80" xr3:uid="{00000000-0010-0000-0000-000050000000}" name="Coût total " totalsRowFunction="sum" dataDxfId="13" totalsRowDxfId="12">
      <calculatedColumnFormula>Tableau624[[#This Row],[Frais exploitatio]]+Tableau624[[#This Row],[Frais généraux]]</calculatedColumnFormula>
    </tableColumn>
    <tableColumn id="34" xr3:uid="{00000000-0010-0000-0000-000022000000}" name="TND/tonne" totalsRowFunction="custom" dataDxfId="11" totalsRowDxfId="10">
      <calculatedColumnFormula>Tableau624[[#This Row],[Coût total ]]/Tableau624[[#This Row],[Tcol/an]]</calculatedColumnFormula>
      <totalsRowFormula>Tableau624[[#Totals],[Coût total ]]/Tableau624[[#Totals],[Tcol/an]]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4:E18" totalsRowShown="0" headerRowDxfId="9" dataDxfId="7" headerRowBorderDxfId="8" tableBorderDxfId="6" totalsRowBorderDxfId="5">
  <tableColumns count="5">
    <tableColumn id="1" xr3:uid="{00000000-0010-0000-0100-000001000000}" name="N/O" dataDxfId="4"/>
    <tableColumn id="2" xr3:uid="{00000000-0010-0000-0100-000002000000}" name="Véhicule" dataDxfId="3"/>
    <tableColumn id="3" xr3:uid="{00000000-0010-0000-0100-000003000000}" name="Désignation" dataDxfId="2"/>
    <tableColumn id="4" xr3:uid="{00000000-0010-0000-0100-000004000000}" name="Prix Neuf" dataDxfId="1"/>
    <tableColumn id="5" xr3:uid="{00000000-0010-0000-0100-000005000000}" name="durée amortissement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CH47"/>
  <sheetViews>
    <sheetView showGridLines="0" tabSelected="1" topLeftCell="BM27" workbookViewId="0">
      <selection activeCell="BV27" sqref="BV27:CG27"/>
    </sheetView>
  </sheetViews>
  <sheetFormatPr defaultColWidth="11.453125" defaultRowHeight="13" x14ac:dyDescent="0.35"/>
  <cols>
    <col min="1" max="1" width="5.36328125" style="17" customWidth="1"/>
    <col min="2" max="2" width="14.08984375" style="36" customWidth="1"/>
    <col min="3" max="3" width="12.08984375" style="36" customWidth="1"/>
    <col min="4" max="4" width="8.08984375" style="17" customWidth="1"/>
    <col min="5" max="5" width="9.90625" style="17" customWidth="1"/>
    <col min="6" max="6" width="5.6328125" style="17" customWidth="1"/>
    <col min="7" max="7" width="11.90625" style="17" customWidth="1"/>
    <col min="8" max="9" width="8.90625" style="17" customWidth="1"/>
    <col min="10" max="10" width="8.36328125" style="17" customWidth="1"/>
    <col min="11" max="13" width="10" style="17" customWidth="1"/>
    <col min="14" max="14" width="13.54296875" style="17" customWidth="1"/>
    <col min="15" max="15" width="9.90625" style="17" customWidth="1"/>
    <col min="16" max="16" width="8.6328125" style="17" customWidth="1"/>
    <col min="17" max="17" width="8.36328125" style="17" customWidth="1"/>
    <col min="18" max="18" width="9.90625" style="17" customWidth="1"/>
    <col min="19" max="19" width="9.54296875" style="17" customWidth="1"/>
    <col min="20" max="21" width="9" style="17" customWidth="1"/>
    <col min="22" max="22" width="10.453125" style="17" customWidth="1"/>
    <col min="23" max="23" width="11" style="17" customWidth="1"/>
    <col min="24" max="24" width="10.54296875" style="17" customWidth="1"/>
    <col min="25" max="25" width="12.453125" style="17" customWidth="1"/>
    <col min="26" max="26" width="7" style="17" customWidth="1"/>
    <col min="27" max="27" width="7.36328125" style="17" customWidth="1"/>
    <col min="28" max="28" width="11.90625" style="17" customWidth="1"/>
    <col min="29" max="29" width="8.08984375" style="17" customWidth="1"/>
    <col min="30" max="30" width="9.453125" style="17" customWidth="1"/>
    <col min="31" max="31" width="8.90625" style="17" customWidth="1"/>
    <col min="32" max="32" width="11.90625" style="17" customWidth="1"/>
    <col min="33" max="33" width="10.08984375" style="17" customWidth="1"/>
    <col min="34" max="34" width="10" style="17" customWidth="1"/>
    <col min="35" max="35" width="6.36328125" style="17" customWidth="1"/>
    <col min="36" max="36" width="8.36328125" style="17" customWidth="1"/>
    <col min="37" max="37" width="9.08984375" style="17" customWidth="1"/>
    <col min="38" max="38" width="11.453125" style="17"/>
    <col min="39" max="39" width="9.453125" style="17" customWidth="1"/>
    <col min="40" max="41" width="9.36328125" style="17" customWidth="1"/>
    <col min="42" max="46" width="11.453125" style="17"/>
    <col min="47" max="47" width="8.6328125" style="17" customWidth="1"/>
    <col min="48" max="48" width="8.90625" style="17" customWidth="1"/>
    <col min="49" max="49" width="9.453125" style="17" customWidth="1"/>
    <col min="50" max="50" width="10.08984375" style="17" customWidth="1"/>
    <col min="51" max="51" width="10.453125" style="17" customWidth="1"/>
    <col min="52" max="52" width="9" style="17" customWidth="1"/>
    <col min="53" max="53" width="8.54296875" style="17" customWidth="1"/>
    <col min="54" max="54" width="9.90625" style="17" customWidth="1"/>
    <col min="55" max="55" width="8.453125" style="17" customWidth="1"/>
    <col min="56" max="56" width="9" style="17" customWidth="1"/>
    <col min="57" max="59" width="9.90625" style="17" customWidth="1"/>
    <col min="60" max="60" width="11.54296875" style="17" customWidth="1"/>
    <col min="61" max="61" width="11.453125" style="17"/>
    <col min="62" max="62" width="11" style="17" customWidth="1"/>
    <col min="63" max="73" width="10.36328125" style="17" customWidth="1"/>
    <col min="74" max="74" width="10.6328125" style="17" customWidth="1"/>
    <col min="75" max="77" width="11.6328125" style="17" customWidth="1"/>
    <col min="78" max="78" width="9" style="17" customWidth="1"/>
    <col min="79" max="82" width="13.08984375" style="17" customWidth="1"/>
    <col min="83" max="83" width="14.453125" style="17" customWidth="1"/>
    <col min="84" max="84" width="14" style="17" customWidth="1"/>
    <col min="85" max="86" width="10.90625" style="17" customWidth="1"/>
    <col min="87" max="16384" width="11.453125" style="17"/>
  </cols>
  <sheetData>
    <row r="1" spans="1:3" s="29" customFormat="1" ht="15" hidden="1" customHeight="1" x14ac:dyDescent="0.35">
      <c r="A1" s="38" t="s">
        <v>0</v>
      </c>
      <c r="B1" s="31" t="s">
        <v>1</v>
      </c>
      <c r="C1" s="32"/>
    </row>
    <row r="2" spans="1:3" s="29" customFormat="1" ht="15" customHeight="1" x14ac:dyDescent="0.35">
      <c r="A2" s="43"/>
      <c r="B2" s="44"/>
      <c r="C2" s="32"/>
    </row>
    <row r="3" spans="1:3" s="29" customFormat="1" ht="15" customHeight="1" x14ac:dyDescent="0.35">
      <c r="A3" s="43"/>
      <c r="B3" s="44"/>
      <c r="C3" s="32"/>
    </row>
    <row r="4" spans="1:3" s="29" customFormat="1" ht="15" customHeight="1" x14ac:dyDescent="0.35">
      <c r="A4" s="43"/>
      <c r="B4" s="44"/>
      <c r="C4" s="32"/>
    </row>
    <row r="5" spans="1:3" s="29" customFormat="1" ht="15" customHeight="1" x14ac:dyDescent="0.35">
      <c r="A5" s="43"/>
      <c r="B5" s="44"/>
      <c r="C5" s="32"/>
    </row>
    <row r="6" spans="1:3" s="29" customFormat="1" ht="15" customHeight="1" x14ac:dyDescent="0.35">
      <c r="A6" s="43"/>
      <c r="B6" s="44"/>
      <c r="C6" s="32"/>
    </row>
    <row r="7" spans="1:3" s="29" customFormat="1" ht="15" customHeight="1" x14ac:dyDescent="0.35">
      <c r="A7" s="43"/>
      <c r="B7" s="44"/>
      <c r="C7" s="32"/>
    </row>
    <row r="8" spans="1:3" s="29" customFormat="1" ht="15" customHeight="1" x14ac:dyDescent="0.35">
      <c r="A8" s="43"/>
      <c r="B8" s="44"/>
      <c r="C8" s="32"/>
    </row>
    <row r="9" spans="1:3" s="29" customFormat="1" ht="15" customHeight="1" x14ac:dyDescent="0.35">
      <c r="A9" s="43"/>
      <c r="B9" s="44"/>
      <c r="C9" s="32"/>
    </row>
    <row r="10" spans="1:3" s="29" customFormat="1" ht="15" customHeight="1" x14ac:dyDescent="0.35">
      <c r="A10" s="43"/>
      <c r="B10" s="44"/>
      <c r="C10" s="32"/>
    </row>
    <row r="11" spans="1:3" s="29" customFormat="1" ht="15" customHeight="1" x14ac:dyDescent="0.35">
      <c r="A11" s="43"/>
      <c r="B11" s="44"/>
      <c r="C11" s="32"/>
    </row>
    <row r="12" spans="1:3" s="29" customFormat="1" ht="15" customHeight="1" x14ac:dyDescent="0.35">
      <c r="A12" s="43"/>
      <c r="B12" s="44"/>
      <c r="C12" s="32"/>
    </row>
    <row r="13" spans="1:3" s="29" customFormat="1" ht="15" customHeight="1" x14ac:dyDescent="0.35">
      <c r="A13" s="43"/>
      <c r="B13" s="44"/>
      <c r="C13" s="32"/>
    </row>
    <row r="14" spans="1:3" s="29" customFormat="1" ht="15" customHeight="1" x14ac:dyDescent="0.35">
      <c r="A14" s="43"/>
      <c r="B14" s="44"/>
      <c r="C14" s="32"/>
    </row>
    <row r="15" spans="1:3" s="29" customFormat="1" ht="15" customHeight="1" x14ac:dyDescent="0.35">
      <c r="A15" s="43"/>
      <c r="B15" s="44"/>
      <c r="C15" s="32"/>
    </row>
    <row r="16" spans="1:3" s="29" customFormat="1" ht="15" customHeight="1" x14ac:dyDescent="0.35">
      <c r="A16" s="43"/>
      <c r="B16" s="44"/>
      <c r="C16" s="32"/>
    </row>
    <row r="17" spans="1:86" s="29" customFormat="1" ht="15" customHeight="1" x14ac:dyDescent="0.35">
      <c r="A17" s="43"/>
      <c r="B17" s="44"/>
      <c r="C17" s="32"/>
    </row>
    <row r="18" spans="1:86" s="29" customFormat="1" ht="15" customHeight="1" x14ac:dyDescent="0.35">
      <c r="A18" s="43"/>
      <c r="B18" s="44"/>
      <c r="C18" s="32"/>
    </row>
    <row r="19" spans="1:86" s="29" customFormat="1" ht="15" customHeight="1" x14ac:dyDescent="0.35">
      <c r="A19" s="43"/>
      <c r="B19" s="44"/>
      <c r="C19" s="32"/>
    </row>
    <row r="20" spans="1:86" s="29" customFormat="1" ht="15" customHeight="1" x14ac:dyDescent="0.35">
      <c r="A20" s="43"/>
      <c r="B20" s="44"/>
      <c r="C20" s="32"/>
    </row>
    <row r="21" spans="1:86" s="29" customFormat="1" ht="15" customHeight="1" x14ac:dyDescent="0.35">
      <c r="A21" s="43"/>
      <c r="B21" s="44"/>
      <c r="C21" s="32"/>
    </row>
    <row r="22" spans="1:86" s="29" customFormat="1" ht="15" customHeight="1" x14ac:dyDescent="0.35">
      <c r="A22" s="43"/>
      <c r="B22" s="44"/>
      <c r="C22" s="32"/>
    </row>
    <row r="23" spans="1:86" s="29" customFormat="1" ht="15" customHeight="1" x14ac:dyDescent="0.35">
      <c r="A23" s="43"/>
      <c r="B23" s="44"/>
      <c r="C23" s="32"/>
    </row>
    <row r="24" spans="1:86" s="29" customFormat="1" ht="15" customHeight="1" x14ac:dyDescent="0.35">
      <c r="A24" s="43"/>
      <c r="B24" s="44"/>
      <c r="C24" s="32"/>
    </row>
    <row r="25" spans="1:86" s="29" customFormat="1" ht="15" customHeight="1" x14ac:dyDescent="0.35">
      <c r="A25" s="43"/>
      <c r="B25" s="44"/>
      <c r="C25" s="32"/>
    </row>
    <row r="27" spans="1:86" ht="14.25" customHeight="1" x14ac:dyDescent="0.35">
      <c r="B27" s="30"/>
      <c r="C27" s="33"/>
      <c r="D27" s="40"/>
      <c r="E27" s="30"/>
      <c r="F27" s="30"/>
      <c r="G27" s="73"/>
      <c r="H27" s="73"/>
      <c r="I27" s="118"/>
      <c r="J27" s="118"/>
      <c r="K27" s="117" t="s">
        <v>2</v>
      </c>
      <c r="L27" s="117"/>
      <c r="M27" s="117"/>
      <c r="N27" s="117"/>
      <c r="O27" s="117"/>
      <c r="P27" s="117"/>
      <c r="Q27" s="121" t="s">
        <v>3</v>
      </c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17" t="s">
        <v>4</v>
      </c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22" t="s">
        <v>214</v>
      </c>
      <c r="AV27" s="122"/>
      <c r="AW27" s="122"/>
      <c r="AX27" s="122"/>
      <c r="AY27" s="122"/>
      <c r="AZ27" s="122"/>
      <c r="BA27" s="122"/>
      <c r="BB27" s="122"/>
      <c r="BC27" s="122"/>
      <c r="BD27" s="117" t="s">
        <v>6</v>
      </c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9" t="s">
        <v>7</v>
      </c>
      <c r="BR27" s="119"/>
      <c r="BS27" s="119"/>
      <c r="BT27" s="119"/>
      <c r="BU27" s="74"/>
      <c r="BV27" s="120" t="s">
        <v>8</v>
      </c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4"/>
    </row>
    <row r="28" spans="1:86" ht="35.25" customHeight="1" x14ac:dyDescent="0.35">
      <c r="A28" s="26"/>
      <c r="B28" s="75" t="s">
        <v>9</v>
      </c>
      <c r="C28" s="76" t="s">
        <v>10</v>
      </c>
      <c r="D28" s="77" t="s">
        <v>11</v>
      </c>
      <c r="E28" s="78" t="s">
        <v>12</v>
      </c>
      <c r="F28" s="78" t="s">
        <v>13</v>
      </c>
      <c r="G28" s="78" t="s">
        <v>14</v>
      </c>
      <c r="H28" s="78" t="s">
        <v>15</v>
      </c>
      <c r="I28" s="78" t="s">
        <v>16</v>
      </c>
      <c r="J28" s="78" t="s">
        <v>17</v>
      </c>
      <c r="K28" s="78" t="s">
        <v>18</v>
      </c>
      <c r="L28" s="78" t="s">
        <v>19</v>
      </c>
      <c r="M28" s="78" t="s">
        <v>20</v>
      </c>
      <c r="N28" s="78" t="s">
        <v>21</v>
      </c>
      <c r="O28" s="78" t="s">
        <v>22</v>
      </c>
      <c r="P28" s="78" t="s">
        <v>23</v>
      </c>
      <c r="Q28" s="79" t="s">
        <v>24</v>
      </c>
      <c r="R28" s="79" t="s">
        <v>25</v>
      </c>
      <c r="S28" s="79" t="s">
        <v>26</v>
      </c>
      <c r="T28" s="79" t="s">
        <v>27</v>
      </c>
      <c r="U28" s="79" t="s">
        <v>28</v>
      </c>
      <c r="V28" s="79" t="s">
        <v>29</v>
      </c>
      <c r="W28" s="79" t="s">
        <v>30</v>
      </c>
      <c r="X28" s="79" t="s">
        <v>31</v>
      </c>
      <c r="Y28" s="80" t="s">
        <v>32</v>
      </c>
      <c r="Z28" s="80" t="s">
        <v>33</v>
      </c>
      <c r="AA28" s="80" t="s">
        <v>34</v>
      </c>
      <c r="AB28" s="80" t="s">
        <v>35</v>
      </c>
      <c r="AC28" s="80" t="s">
        <v>36</v>
      </c>
      <c r="AD28" s="80" t="s">
        <v>37</v>
      </c>
      <c r="AE28" s="80" t="s">
        <v>38</v>
      </c>
      <c r="AF28" s="80" t="s">
        <v>39</v>
      </c>
      <c r="AG28" s="80" t="s">
        <v>40</v>
      </c>
      <c r="AH28" s="78" t="s">
        <v>41</v>
      </c>
      <c r="AI28" s="78" t="s">
        <v>42</v>
      </c>
      <c r="AJ28" s="78" t="s">
        <v>43</v>
      </c>
      <c r="AK28" s="78" t="s">
        <v>44</v>
      </c>
      <c r="AL28" s="78" t="s">
        <v>45</v>
      </c>
      <c r="AM28" s="78" t="s">
        <v>46</v>
      </c>
      <c r="AN28" s="78" t="s">
        <v>47</v>
      </c>
      <c r="AO28" s="78" t="s">
        <v>48</v>
      </c>
      <c r="AP28" s="78" t="s">
        <v>49</v>
      </c>
      <c r="AQ28" s="78" t="s">
        <v>50</v>
      </c>
      <c r="AR28" s="78" t="s">
        <v>51</v>
      </c>
      <c r="AS28" s="78" t="s">
        <v>52</v>
      </c>
      <c r="AT28" s="78" t="s">
        <v>53</v>
      </c>
      <c r="AU28" s="81" t="s">
        <v>54</v>
      </c>
      <c r="AV28" s="81" t="s">
        <v>55</v>
      </c>
      <c r="AW28" s="81" t="s">
        <v>56</v>
      </c>
      <c r="AX28" s="78" t="s">
        <v>57</v>
      </c>
      <c r="AY28" s="78" t="s">
        <v>58</v>
      </c>
      <c r="AZ28" s="78" t="s">
        <v>59</v>
      </c>
      <c r="BA28" s="78" t="s">
        <v>60</v>
      </c>
      <c r="BB28" s="78" t="s">
        <v>61</v>
      </c>
      <c r="BC28" s="78" t="s">
        <v>62</v>
      </c>
      <c r="BD28" s="78" t="s">
        <v>63</v>
      </c>
      <c r="BE28" s="78" t="s">
        <v>64</v>
      </c>
      <c r="BF28" s="78" t="s">
        <v>65</v>
      </c>
      <c r="BG28" s="78" t="s">
        <v>66</v>
      </c>
      <c r="BH28" s="78" t="s">
        <v>67</v>
      </c>
      <c r="BI28" s="78" t="s">
        <v>68</v>
      </c>
      <c r="BJ28" s="78" t="s">
        <v>69</v>
      </c>
      <c r="BK28" s="78" t="s">
        <v>70</v>
      </c>
      <c r="BL28" s="78" t="s">
        <v>71</v>
      </c>
      <c r="BM28" s="78" t="s">
        <v>72</v>
      </c>
      <c r="BN28" s="78" t="s">
        <v>73</v>
      </c>
      <c r="BO28" s="78" t="s">
        <v>74</v>
      </c>
      <c r="BP28" s="78" t="s">
        <v>75</v>
      </c>
      <c r="BQ28" s="78" t="s">
        <v>76</v>
      </c>
      <c r="BR28" s="78" t="s">
        <v>77</v>
      </c>
      <c r="BS28" s="78" t="s">
        <v>78</v>
      </c>
      <c r="BT28" s="78" t="s">
        <v>79</v>
      </c>
      <c r="BU28" s="78" t="s">
        <v>80</v>
      </c>
      <c r="BV28" s="78" t="s">
        <v>81</v>
      </c>
      <c r="BW28" s="78" t="s">
        <v>82</v>
      </c>
      <c r="BX28" s="78" t="s">
        <v>83</v>
      </c>
      <c r="BY28" s="78" t="s">
        <v>84</v>
      </c>
      <c r="BZ28" s="78" t="s">
        <v>85</v>
      </c>
      <c r="CA28" s="78" t="s">
        <v>86</v>
      </c>
      <c r="CB28" s="78" t="s">
        <v>87</v>
      </c>
      <c r="CC28" s="78" t="s">
        <v>88</v>
      </c>
      <c r="CD28" s="78" t="s">
        <v>89</v>
      </c>
      <c r="CE28" s="78" t="s">
        <v>90</v>
      </c>
      <c r="CF28" s="78" t="s">
        <v>91</v>
      </c>
      <c r="CG28" s="78" t="s">
        <v>92</v>
      </c>
      <c r="CH28" s="78" t="s">
        <v>93</v>
      </c>
    </row>
    <row r="29" spans="1:86" ht="15" customHeight="1" x14ac:dyDescent="0.35">
      <c r="A29" s="39"/>
      <c r="B29" s="99" t="s">
        <v>94</v>
      </c>
      <c r="C29" s="100" t="s">
        <v>95</v>
      </c>
      <c r="D29" s="101" t="s">
        <v>96</v>
      </c>
      <c r="E29" s="59" t="s">
        <v>97</v>
      </c>
      <c r="F29" s="54">
        <v>16</v>
      </c>
      <c r="G29" s="60">
        <v>0.5</v>
      </c>
      <c r="H29" s="61">
        <v>1</v>
      </c>
      <c r="I29" s="45">
        <v>365</v>
      </c>
      <c r="J29" s="46">
        <f>Tableau624[[#This Row],[fréq/an]]/Bdd!$E$25</f>
        <v>1</v>
      </c>
      <c r="K29" s="46">
        <f>Tableau624[[#This Row],[Nb voyage]]*Tableau624[[#This Row],[densité DMA]]*Tableau624[[#This Row],[V : m3]]</f>
        <v>8</v>
      </c>
      <c r="L29" s="46">
        <v>7</v>
      </c>
      <c r="M29" s="46">
        <f>Tableau624[[#This Row],[Nb voyage]]*Tableau624[[#This Row],[T col / V]]</f>
        <v>7</v>
      </c>
      <c r="N29" s="62">
        <f>Tableau624[[#This Row],[Tcol/an]]/Tableau624[[#This Row],[T Max T/an]]</f>
        <v>0.875</v>
      </c>
      <c r="O29" s="47">
        <f>Tableau624[[#This Row],[fréq/an]]*Tableau624[[#This Row],[Tmax/ séance]]</f>
        <v>2920</v>
      </c>
      <c r="P29" s="47">
        <f>Tableau624[[#This Row],[fréq/an]]*Tableau624[[#This Row],[T col / séance]]</f>
        <v>2555</v>
      </c>
      <c r="Q29" s="48">
        <v>1</v>
      </c>
      <c r="R29" s="48">
        <v>250000</v>
      </c>
      <c r="S29" s="48">
        <v>10</v>
      </c>
      <c r="T29" s="49">
        <f>(IF(Tableau624[[#This Row],[Achat / don]]&gt;0,(Tableau624[[#This Row],[taux fréq]]*Tableau624[[#This Row],[Prix Achat]])/Tableau624[[#This Row],[durée Amort]],0))</f>
        <v>25000</v>
      </c>
      <c r="U29" s="49">
        <f>Tableau624[[#This Row],[taux fréq]]*Tableau624[[#This Row],[Prix Achat]]*Bdd!$E$24</f>
        <v>30000</v>
      </c>
      <c r="V29" s="50">
        <v>32</v>
      </c>
      <c r="W29" s="49">
        <f>Tableau624[[#This Row],[fréq/an]]*Tableau624[[#This Row],[GO VC (l)]]*Bdd!$E$22</f>
        <v>21316</v>
      </c>
      <c r="X29" s="49">
        <f>Tableau624[[#This Row],[GO VC d/an]]*Bdd!$E$23</f>
        <v>2131.6</v>
      </c>
      <c r="Y29" s="63">
        <v>1</v>
      </c>
      <c r="Z29" s="63">
        <v>0</v>
      </c>
      <c r="AA29" s="63">
        <v>0</v>
      </c>
      <c r="AB29" s="64">
        <f>(Tableau624[[#This Row],[Chauf P]]+Tableau624[[#This Row],[Chau OM]]+Tableau624[[#This Row],[Chau OD]])*Bdd!$E$36</f>
        <v>1.26</v>
      </c>
      <c r="AC29" s="65">
        <v>2</v>
      </c>
      <c r="AD29" s="63">
        <v>0</v>
      </c>
      <c r="AE29" s="63">
        <v>1</v>
      </c>
      <c r="AF29" s="64">
        <f>(Tableau624[[#This Row],[Ouv P]]+Tableau624[[#This Row],[Ouv OM]]+Tableau624[[#This Row],[Ouv OD]])*Bdd!$E$36</f>
        <v>3.7800000000000002</v>
      </c>
      <c r="AG29" s="65">
        <f>Tableau624[[#This Row],[taux fréq]]*((Tableau624[[#This Row],[Chauf P]]+Tableau624[[#This Row],[Ouv P]])*Bdd!$E$32+(Tableau624[[#This Row],[Chau OM]]+Tableau624[[#This Row],[Ouv OM]])*Bdd!$E$33)*(1+Bdd!$E$26)</f>
        <v>41580</v>
      </c>
      <c r="AH29" s="65">
        <f>Tableau624[[#This Row],[Don]]+Tableau624[[#This Row],[Bud Com]]</f>
        <v>0</v>
      </c>
      <c r="AI29" s="66">
        <v>0</v>
      </c>
      <c r="AJ29" s="66">
        <v>0</v>
      </c>
      <c r="AK29" s="65">
        <f>IF(Tableau624[[#This Row],[Nb Pick-up]]&gt;0,Tableau624[[#This Row],[Nb Pick-up]]*Calcul!D15,0)</f>
        <v>0</v>
      </c>
      <c r="AL29" s="66">
        <f>IF(Tableau624[[#This Row],[Nb Pick-up]]&gt;0,10,0)</f>
        <v>0</v>
      </c>
      <c r="AM29" s="66">
        <f>IF(Tableau624[[#This Row],[Nb Pick-up]]&gt;0,(Tableau624[[#This Row],[Bud Com]]*Tableau624[[#This Row],[Prix Pup]])/Tableau624[[#This Row],[Durée Am Pup]],0)</f>
        <v>0</v>
      </c>
      <c r="AN29" s="66">
        <v>10</v>
      </c>
      <c r="AO29" s="66">
        <f>Tableau624[[#This Row],[fréq/an]]*Tableau624[[#This Row],[Nb Pick-up]]*Tableau624[[#This Row],[GO Pup]]*Bdd!$E$22</f>
        <v>0</v>
      </c>
      <c r="AP29" s="66">
        <f>Tableau624[[#This Row],[GO Pup TND/an]]*Bdd!$E$23</f>
        <v>0</v>
      </c>
      <c r="AQ29" s="66">
        <v>0</v>
      </c>
      <c r="AR29" s="66">
        <v>0</v>
      </c>
      <c r="AS29" s="66">
        <f>Tableau624[[#This Row],[taux fréq]]*((Tableau624[[#This Row],[Nb Pick-up]]+Tableau624[[#This Row],[Ouv P (PK)]])*Bdd!$E$32+Tableau624[[#This Row],[Ouv OM (PK)]]*Bdd!$E$33)*(1+Bdd!$E$26)*Bdd!$E$37</f>
        <v>0</v>
      </c>
      <c r="AT29" s="66">
        <f>Tableau624[[#This Row],[taux fréq]]*Tableau624[[#This Row],[Nb Pick-up]]*Tableau624[[#This Row],[Prix Pup]]*Bdd!$E$24</f>
        <v>0</v>
      </c>
      <c r="AU29" s="66">
        <v>0</v>
      </c>
      <c r="AV29" s="66">
        <v>0</v>
      </c>
      <c r="AW29" s="66">
        <v>0</v>
      </c>
      <c r="AX29" s="66">
        <f>IF(Tableau624[[#This Row],[Nb Tx]]&gt;0,Tableau624[[#This Row],[taux fréq]]*Tableau624[[#This Row],[Nb Tx]]*Tableau624[[#This Row],[Prix Tx]]/Tableau624[[#This Row],[Durée Am]],0)</f>
        <v>0</v>
      </c>
      <c r="AY29" s="66"/>
      <c r="AZ29" s="66">
        <f>Tableau624[[#This Row],[fréq/an]]*Tableau624[[#This Row],[Nb Tx]]*Tableau624[[#This Row],[GO Tx l/séance]]*Bdd!$E$22</f>
        <v>0</v>
      </c>
      <c r="BA29" s="66">
        <f>Tableau624[[#This Row],[GO TND/an]]*Bdd!$E$23</f>
        <v>0</v>
      </c>
      <c r="BB29" s="66">
        <f>Tableau624[[#This Row],[taux fréq]]*Tableau624[[#This Row],[Nb Tx]]*Tableau624[[#This Row],[Prix Tx]]*Bdd!$E$24</f>
        <v>0</v>
      </c>
      <c r="BC29" s="66">
        <f>Tableau624[[#This Row],[taux fréq]]*Tableau624[[#This Row],[Nb Tx]]*Bdd!$E$32*Bdd!$E$36*(1+Bdd!$E$26)</f>
        <v>0</v>
      </c>
      <c r="BD29" s="66">
        <v>80</v>
      </c>
      <c r="BE29" s="66">
        <f>(Tableau624[[#This Row],[Nb C770]]*Bdd!$D$5)</f>
        <v>40000</v>
      </c>
      <c r="BF29" s="66">
        <v>30</v>
      </c>
      <c r="BG29" s="66">
        <f>(Tableau624[[#This Row],[Nb C240]]*Bdd!$D$6)</f>
        <v>9600</v>
      </c>
      <c r="BH29" s="66">
        <v>0</v>
      </c>
      <c r="BI29" s="66">
        <f>(Tableau624[[#This Row],[Nb Brouettes]]*Bdd!$D$7)</f>
        <v>0</v>
      </c>
      <c r="BJ29" s="66">
        <f>(Tableau624[[#This Row],[C770 TND/an]]+Tableau624[[#This Row],[C240 TND/an3]]+Tableau624[[#This Row],[Brouettes TND/an]])/Bdd!$E$5</f>
        <v>19840</v>
      </c>
      <c r="BK29" s="66">
        <f>(Tableau624[[#This Row],[C770 TND/an]]+Tableau624[[#This Row],[C240 TND/an3]]+Tableau624[[#This Row],[Brouettes TND/an]])*Bdd!$E$24</f>
        <v>5952</v>
      </c>
      <c r="BL29" s="66">
        <v>0</v>
      </c>
      <c r="BM29" s="66">
        <v>2</v>
      </c>
      <c r="BN29" s="66">
        <v>0</v>
      </c>
      <c r="BO29" s="66">
        <f>Tableau624[[#This Row],[Nb Ouv P]]+Tableau624[[#This Row],[Nb OM]]+Tableau624[[#This Row],[Nb OD]]</f>
        <v>2</v>
      </c>
      <c r="BP29" s="66">
        <f>Tableau624[[#This Row],[taux fréq]]*(Tableau624[[#This Row],[Nb Ouv P]]*Bdd!$E$32+Tableau624[[#This Row],[Nb OM]]*Bdd!$E$33)*(1+Bdd!$E$26)</f>
        <v>13332</v>
      </c>
      <c r="BQ29" s="67">
        <f>Tableau624[[#This Row],[chauf maj]]+Tableau624[[#This Row],[Nb Pick-up]]+Tableau624[[#This Row],[Nb Tx]]</f>
        <v>1.26</v>
      </c>
      <c r="BR29" s="66">
        <f>Tableau624[[#This Row],[Ebou maj]]+Tableau624[[#This Row],[Nb Pick-up]]+Tableau624[[#This Row],[Nb Tx]]+Tableau624[[#This Row],[Nb Ouv P]]+Tableau624[[#This Row],[Nb OM]]+Tableau624[[#This Row],[Nb OD]]</f>
        <v>5.78</v>
      </c>
      <c r="BS29" s="66">
        <f>Tableau624[[#This Row],[Total 1 chaffeurs]]*Bdd!$E$39</f>
        <v>504</v>
      </c>
      <c r="BT29" s="66">
        <f>Tableau624[[#This Row],[Total 2 ouvriers]]*Bdd!$E$40</f>
        <v>1965.2</v>
      </c>
      <c r="BU29" s="68">
        <f>Tableau624[[#This Row],[Total 1 chaffeurs]]+Tableau624[[#This Row],[Total 2 ouvriers]]</f>
        <v>7.04</v>
      </c>
      <c r="BV29" s="66">
        <f>Tableau624[[#This Row],[Am C+b]]+Tableau624[[#This Row],[Amo Pup]]+Tableau624[[#This Row],[Amo VC]]+Tableau624[[#This Row],[Am Tx TND/an]]</f>
        <v>44840</v>
      </c>
      <c r="BW29" s="66">
        <f>Tableau624[[#This Row],[salaires VCTND/an]]+Tableau624[[#This Row],[Salaire Pup TND/an]]+Tableau624[[#This Row],[salaire pré-col TND/an]]+Tableau624[[#This Row],[Salaire TND/an]]</f>
        <v>54912</v>
      </c>
      <c r="BX29" s="66">
        <f>Tableau624[[#This Row],[Tenues chauf TND]]+Tableau624[[#This Row],[Tenues ouv TND]]</f>
        <v>2469.1999999999998</v>
      </c>
      <c r="BY29" s="66">
        <f>Tableau624[[#This Row],[Total 1+2]]*Bdd!$E$41*(Bdd!$E$25-Bdd!$E$35)</f>
        <v>2395.0079999999998</v>
      </c>
      <c r="BZ29" s="66">
        <f>Tableau624[[#This Row],[GO VC d/an]]+Tableau624[[#This Row],[Lub VC d/an]]+Tableau624[[#This Row],[GO Pup TND/an]]+Tableau624[[#This Row],[Lub Pup TND/an]]+Tableau624[[#This Row],[GO TND/an]]+Tableau624[[#This Row],[Lub Tx TND/an]]</f>
        <v>23447.599999999999</v>
      </c>
      <c r="CA29" s="66">
        <f>Tableau624[[#This Row],[Rép Cont]]+Tableau624[[#This Row],[Rép Pup TND/an]]+Tableau624[[#This Row],[Rép VC]]+Tableau624[[#This Row],[Répar Tx TND/an]]</f>
        <v>35952</v>
      </c>
      <c r="CB29" s="66">
        <v>0</v>
      </c>
      <c r="CC29" s="66">
        <v>0</v>
      </c>
      <c r="CD29" s="66">
        <f>Tableau624[[#This Row],[Tcol/an]]*Bdd!$E$42</f>
        <v>0</v>
      </c>
      <c r="CE29" s="66">
        <f>Tableau624[[#This Row],[Amort]]+Tableau624[[#This Row],[Salaires]]+Tableau624[[#This Row],[Gasoil+ Lub]]+Tableau624[[#This Row],[Réparation]]+Tableau624[[#This Row],[Tenues travail]]+Tableau624[[#This Row],[Lait]]+Tableau624[[#This Row],[Frais décharge]]+Tableau624[[#This Row],[Assurance]]+Tableau624[[#This Row],[Taxe]]</f>
        <v>164015.80800000002</v>
      </c>
      <c r="CF29" s="66">
        <f>Tableau624[[#This Row],[Frais exploitatio]]*Bdd!$E$27</f>
        <v>32803.161600000007</v>
      </c>
      <c r="CG29" s="66">
        <f>Tableau624[[#This Row],[Frais exploitatio]]+Tableau624[[#This Row],[Frais généraux]]</f>
        <v>196818.96960000001</v>
      </c>
      <c r="CH29" s="106">
        <f>Tableau624[[#This Row],[Coût total ]]/Tableau624[[#This Row],[Tcol/an]]</f>
        <v>77.032864814090019</v>
      </c>
    </row>
    <row r="30" spans="1:86" ht="15" customHeight="1" x14ac:dyDescent="0.35">
      <c r="A30" s="39"/>
      <c r="B30" s="102" t="s">
        <v>98</v>
      </c>
      <c r="C30" s="103" t="s">
        <v>99</v>
      </c>
      <c r="D30" s="104" t="s">
        <v>100</v>
      </c>
      <c r="E30" s="69" t="s">
        <v>97</v>
      </c>
      <c r="F30" s="57">
        <v>16</v>
      </c>
      <c r="G30" s="60">
        <v>0.5</v>
      </c>
      <c r="H30" s="61">
        <v>1</v>
      </c>
      <c r="I30" s="45">
        <v>365</v>
      </c>
      <c r="J30" s="52">
        <f>Tableau624[[#This Row],[fréq/an]]/Bdd!$E$25</f>
        <v>1</v>
      </c>
      <c r="K30" s="53">
        <f>Tableau624[[#This Row],[Nb voyage]]*Tableau624[[#This Row],[densité DMA]]*Tableau624[[#This Row],[V : m3]]</f>
        <v>8</v>
      </c>
      <c r="L30" s="53">
        <v>6.5</v>
      </c>
      <c r="M30" s="53">
        <f>Tableau624[[#This Row],[Nb voyage]]*Tableau624[[#This Row],[T col / V]]</f>
        <v>6.5</v>
      </c>
      <c r="N30" s="62">
        <f>Tableau624[[#This Row],[Tcol/an]]/Tableau624[[#This Row],[T Max T/an]]</f>
        <v>0.8125</v>
      </c>
      <c r="O30" s="49">
        <f>Tableau624[[#This Row],[fréq/an]]*Tableau624[[#This Row],[Tmax/ séance]]</f>
        <v>2920</v>
      </c>
      <c r="P30" s="47">
        <f>Tableau624[[#This Row],[fréq/an]]*Tableau624[[#This Row],[T col / séance]]</f>
        <v>2372.5</v>
      </c>
      <c r="Q30" s="48">
        <v>0</v>
      </c>
      <c r="R30" s="48">
        <v>250000</v>
      </c>
      <c r="S30" s="54">
        <v>10</v>
      </c>
      <c r="T30" s="47">
        <f>(IF(Tableau624[[#This Row],[Achat / don]]&gt;0,(Tableau624[[#This Row],[taux fréq]]*Tableau624[[#This Row],[Prix Achat]])/Tableau624[[#This Row],[durée Amort]],0))</f>
        <v>0</v>
      </c>
      <c r="U30" s="55">
        <f>Tableau624[[#This Row],[taux fréq]]*Tableau624[[#This Row],[Prix Achat]]*Bdd!$E$24</f>
        <v>30000</v>
      </c>
      <c r="V30" s="56">
        <v>45</v>
      </c>
      <c r="W30" s="47">
        <f>Tableau624[[#This Row],[fréq/an]]*Tableau624[[#This Row],[GO VC (l)]]*Bdd!$E$22</f>
        <v>29975.625</v>
      </c>
      <c r="X30" s="49">
        <f>Tableau624[[#This Row],[GO VC d/an]]*Bdd!$E$23</f>
        <v>2997.5625</v>
      </c>
      <c r="Y30" s="63">
        <v>1</v>
      </c>
      <c r="Z30" s="63">
        <v>0</v>
      </c>
      <c r="AA30" s="63">
        <v>0</v>
      </c>
      <c r="AB30" s="64">
        <f>(Tableau624[[#This Row],[Chauf P]]+Tableau624[[#This Row],[Chau OM]]+Tableau624[[#This Row],[Chau OD]])*Bdd!$E$36</f>
        <v>1.26</v>
      </c>
      <c r="AC30" s="65">
        <v>2</v>
      </c>
      <c r="AD30" s="63">
        <v>0</v>
      </c>
      <c r="AE30" s="63">
        <v>0</v>
      </c>
      <c r="AF30" s="64">
        <f>(Tableau624[[#This Row],[Ouv P]]+Tableau624[[#This Row],[Ouv OM]]+Tableau624[[#This Row],[Ouv OD]])*Bdd!$E$36</f>
        <v>2.52</v>
      </c>
      <c r="AG30" s="65">
        <f>Tableau624[[#This Row],[taux fréq]]*((Tableau624[[#This Row],[Chauf P]]+Tableau624[[#This Row],[Ouv P]])*Bdd!$E$32+(Tableau624[[#This Row],[Chau OM]]+Tableau624[[#This Row],[Ouv OM]])*Bdd!$E$33)*(1+Bdd!$E$26)</f>
        <v>41580</v>
      </c>
      <c r="AH30" s="65">
        <f>Tableau624[[#This Row],[Don]]+Tableau624[[#This Row],[Bud Com]]</f>
        <v>0</v>
      </c>
      <c r="AI30" s="66">
        <v>0</v>
      </c>
      <c r="AJ30" s="66">
        <v>0</v>
      </c>
      <c r="AK30" s="65">
        <f>IF(Tableau624[[#This Row],[Nb Pick-up]]&gt;0,Tableau624[[#This Row],[Nb Pick-up]]*Calcul!D16,0)</f>
        <v>0</v>
      </c>
      <c r="AL30" s="65">
        <f>IF(Tableau624[[#This Row],[Nb Pick-up]]&gt;0,10,0)</f>
        <v>0</v>
      </c>
      <c r="AM30" s="65">
        <f>IF(Tableau624[[#This Row],[Nb Pick-up]]&gt;0,(Tableau624[[#This Row],[Bud Com]]*Tableau624[[#This Row],[Prix Pup]])/Tableau624[[#This Row],[Durée Am Pup]],0)</f>
        <v>0</v>
      </c>
      <c r="AN30" s="65">
        <v>0</v>
      </c>
      <c r="AO30" s="65">
        <f>Tableau624[[#This Row],[fréq/an]]*Tableau624[[#This Row],[Nb Pick-up]]*Tableau624[[#This Row],[GO Pup]]*Bdd!$E$22</f>
        <v>0</v>
      </c>
      <c r="AP30" s="65">
        <f>Tableau624[[#This Row],[GO Pup TND/an]]*Bdd!$E$23</f>
        <v>0</v>
      </c>
      <c r="AQ30" s="66">
        <v>0</v>
      </c>
      <c r="AR30" s="66">
        <v>0</v>
      </c>
      <c r="AS30" s="65">
        <f>Tableau624[[#This Row],[taux fréq]]*((Tableau624[[#This Row],[Nb Pick-up]]+Tableau624[[#This Row],[Ouv P (PK)]])*Bdd!$E$32+Tableau624[[#This Row],[Ouv OM (PK)]]*Bdd!$E$33)*(1+Bdd!$E$26)*Bdd!$E$37</f>
        <v>0</v>
      </c>
      <c r="AT30" s="65">
        <f>Tableau624[[#This Row],[taux fréq]]*Tableau624[[#This Row],[Nb Pick-up]]*Tableau624[[#This Row],[Prix Pup]]*Bdd!$E$24</f>
        <v>0</v>
      </c>
      <c r="AU30" s="66">
        <v>0</v>
      </c>
      <c r="AV30" s="66">
        <v>0</v>
      </c>
      <c r="AW30" s="66">
        <v>0</v>
      </c>
      <c r="AX30" s="65">
        <f>IF(Tableau624[[#This Row],[Nb Tx]]&gt;0,Tableau624[[#This Row],[taux fréq]]*Tableau624[[#This Row],[Nb Tx]]*Tableau624[[#This Row],[Prix Tx]]/Tableau624[[#This Row],[Durée Am]],0)</f>
        <v>0</v>
      </c>
      <c r="AY30" s="65"/>
      <c r="AZ30" s="65">
        <f>Tableau624[[#This Row],[fréq/an]]*Tableau624[[#This Row],[Nb Tx]]*Tableau624[[#This Row],[GO Tx l/séance]]*Bdd!$E$22</f>
        <v>0</v>
      </c>
      <c r="BA30" s="65">
        <f>Tableau624[[#This Row],[GO TND/an]]*Bdd!$E$23</f>
        <v>0</v>
      </c>
      <c r="BB30" s="65">
        <f>Tableau624[[#This Row],[taux fréq]]*Tableau624[[#This Row],[Nb Tx]]*Tableau624[[#This Row],[Prix Tx]]*Bdd!$E$24</f>
        <v>0</v>
      </c>
      <c r="BC30" s="65">
        <f>Tableau624[[#This Row],[taux fréq]]*Tableau624[[#This Row],[Nb Tx]]*Bdd!$E$32*Bdd!$E$36*(1+Bdd!$E$26)</f>
        <v>0</v>
      </c>
      <c r="BD30" s="65">
        <v>75</v>
      </c>
      <c r="BE30" s="65">
        <f>(Tableau624[[#This Row],[Nb C770]]*Bdd!$D$5)</f>
        <v>37500</v>
      </c>
      <c r="BF30" s="65">
        <v>2</v>
      </c>
      <c r="BG30" s="66">
        <f>(Tableau624[[#This Row],[Nb C240]]*Bdd!$D$6)</f>
        <v>640</v>
      </c>
      <c r="BH30" s="65">
        <v>0</v>
      </c>
      <c r="BI30" s="65">
        <f>(Tableau624[[#This Row],[Nb Brouettes]]*Bdd!$D$7)</f>
        <v>0</v>
      </c>
      <c r="BJ30" s="66">
        <f>(Tableau624[[#This Row],[C770 TND/an]]+Tableau624[[#This Row],[Brouettes TND/an]]+Tableau624[[#This Row],[C240 TND/an3]])/Bdd!$E$5</f>
        <v>15256</v>
      </c>
      <c r="BK30" s="47">
        <f>(Tableau624[[#This Row],[C770 TND/an]]+Tableau624[[#This Row],[C240 TND/an3]]+Tableau624[[#This Row],[Brouettes TND/an]])*Bdd!$E$24</f>
        <v>4576.8</v>
      </c>
      <c r="BL30" s="47">
        <v>0</v>
      </c>
      <c r="BM30" s="66">
        <v>0</v>
      </c>
      <c r="BN30" s="66">
        <v>2</v>
      </c>
      <c r="BO30" s="70">
        <f>Tableau624[[#This Row],[Nb Ouv P]]+Tableau624[[#This Row],[Nb OM]]+Tableau624[[#This Row],[Nb OD]]</f>
        <v>2</v>
      </c>
      <c r="BP30" s="47">
        <f>Tableau624[[#This Row],[taux fréq]]*(Tableau624[[#This Row],[Nb Ouv P]]*Bdd!$E$32+Tableau624[[#This Row],[Nb OM]]*Bdd!$E$33)*(1+Bdd!$E$26)</f>
        <v>0</v>
      </c>
      <c r="BQ30" s="61">
        <f>Tableau624[[#This Row],[chauf maj]]+Tableau624[[#This Row],[Nb Pick-up]]+Tableau624[[#This Row],[Nb Tx]]</f>
        <v>1.26</v>
      </c>
      <c r="BR30" s="47">
        <f>Tableau624[[#This Row],[Ebou maj]]+Tableau624[[#This Row],[Nb Pick-up]]+Tableau624[[#This Row],[Nb Tx]]+Tableau624[[#This Row],[Nb Ouv P]]+Tableau624[[#This Row],[Nb OM]]+Tableau624[[#This Row],[Nb OD]]</f>
        <v>4.5199999999999996</v>
      </c>
      <c r="BS30" s="47">
        <f>Tableau624[[#This Row],[Total 1 chaffeurs]]*Bdd!$E$39</f>
        <v>504</v>
      </c>
      <c r="BT30" s="47">
        <f>Tableau624[[#This Row],[Total 2 ouvriers]]*Bdd!$E$40</f>
        <v>1536.8</v>
      </c>
      <c r="BU30" s="47">
        <f>Tableau624[[#This Row],[Total 1 chaffeurs]]+Tableau624[[#This Row],[Total 2 ouvriers]]</f>
        <v>5.7799999999999994</v>
      </c>
      <c r="BV30" s="65">
        <f>Tableau624[[#This Row],[Am C+b]]+Tableau624[[#This Row],[Amo Pup]]+Tableau624[[#This Row],[Amo VC]]+Tableau624[[#This Row],[Am Tx TND/an]]</f>
        <v>15256</v>
      </c>
      <c r="BW30" s="65">
        <f>Tableau624[[#This Row],[salaires VCTND/an]]+Tableau624[[#This Row],[Salaire Pup TND/an]]+Tableau624[[#This Row],[salaire pré-col TND/an]]+Tableau624[[#This Row],[Salaire TND/an]]</f>
        <v>41580</v>
      </c>
      <c r="BX30" s="66">
        <f>Tableau624[[#This Row],[Tenues chauf TND]]+Tableau624[[#This Row],[Tenues ouv TND]]</f>
        <v>2040.8</v>
      </c>
      <c r="BY30" s="66">
        <f>Tableau624[[#This Row],[Total 1+2]]*Bdd!$E$41*(Bdd!$E$25-Bdd!$E$35)</f>
        <v>1966.3559999999998</v>
      </c>
      <c r="BZ30" s="66">
        <f>Tableau624[[#This Row],[GO VC d/an]]+Tableau624[[#This Row],[Lub VC d/an]]+Tableau624[[#This Row],[GO Pup TND/an]]+Tableau624[[#This Row],[Lub Pup TND/an]]+Tableau624[[#This Row],[GO TND/an]]+Tableau624[[#This Row],[Lub Tx TND/an]]</f>
        <v>32973.1875</v>
      </c>
      <c r="CA30" s="66">
        <f>Tableau624[[#This Row],[Rép Cont]]+Tableau624[[#This Row],[Rép Pup TND/an]]+Tableau624[[#This Row],[Rép VC]]+Tableau624[[#This Row],[Répar Tx TND/an]]</f>
        <v>34576.800000000003</v>
      </c>
      <c r="CB30" s="66">
        <v>0</v>
      </c>
      <c r="CC30" s="66">
        <v>0</v>
      </c>
      <c r="CD30" s="66">
        <f>Tableau624[[#This Row],[Tcol/an]]*Bdd!$E$42</f>
        <v>0</v>
      </c>
      <c r="CE30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128393.14350000001</v>
      </c>
      <c r="CF30" s="66">
        <f>Tableau624[[#This Row],[Frais exploitatio]]*Bdd!$E$27</f>
        <v>25678.628700000001</v>
      </c>
      <c r="CG30" s="71">
        <f>Tableau624[[#This Row],[Frais exploitatio]]+Tableau624[[#This Row],[Frais généraux]]</f>
        <v>154071.77220000001</v>
      </c>
      <c r="CH30" s="107">
        <f>Tableau624[[#This Row],[Coût total ]]/Tableau624[[#This Row],[Tcol/an]]</f>
        <v>64.940683751317181</v>
      </c>
    </row>
    <row r="31" spans="1:86" ht="15" customHeight="1" x14ac:dyDescent="0.35">
      <c r="A31" s="39"/>
      <c r="B31" s="102" t="s">
        <v>94</v>
      </c>
      <c r="C31" s="103" t="s">
        <v>101</v>
      </c>
      <c r="D31" s="101" t="s">
        <v>102</v>
      </c>
      <c r="E31" s="69" t="s">
        <v>103</v>
      </c>
      <c r="F31" s="57">
        <v>8</v>
      </c>
      <c r="G31" s="60">
        <v>0.2</v>
      </c>
      <c r="H31" s="61">
        <v>1</v>
      </c>
      <c r="I31" s="61">
        <v>302</v>
      </c>
      <c r="J31" s="52">
        <f>Tableau624[[#This Row],[fréq/an]]/Bdd!$E$25</f>
        <v>0.82739726027397265</v>
      </c>
      <c r="K31" s="53">
        <f>Tableau624[[#This Row],[Nb voyage]]*Tableau624[[#This Row],[densité DMA]]*Tableau624[[#This Row],[V : m3]]</f>
        <v>1.6</v>
      </c>
      <c r="L31" s="53">
        <v>1.3</v>
      </c>
      <c r="M31" s="53">
        <f>Tableau624[[#This Row],[Nb voyage]]*Tableau624[[#This Row],[T col / V]]</f>
        <v>1.3</v>
      </c>
      <c r="N31" s="62">
        <f>Tableau624[[#This Row],[Tcol/an]]/Tableau624[[#This Row],[T Max T/an]]</f>
        <v>0.8125</v>
      </c>
      <c r="O31" s="49">
        <f>Tableau624[[#This Row],[fréq/an]]*Tableau624[[#This Row],[Tmax/ séance]]</f>
        <v>483.20000000000005</v>
      </c>
      <c r="P31" s="47">
        <f>Tableau624[[#This Row],[fréq/an]]*Tableau624[[#This Row],[T col / séance]]</f>
        <v>392.6</v>
      </c>
      <c r="Q31" s="48">
        <v>1</v>
      </c>
      <c r="R31" s="57">
        <v>45000</v>
      </c>
      <c r="S31" s="54">
        <v>10</v>
      </c>
      <c r="T31" s="47">
        <f>(IF(Tableau624[[#This Row],[Achat / don]]&gt;0,(Tableau624[[#This Row],[taux fréq]]*Tableau624[[#This Row],[Prix Achat]])/Tableau624[[#This Row],[durée Amort]],0))</f>
        <v>3723.2876712328771</v>
      </c>
      <c r="U31" s="55">
        <f>Tableau624[[#This Row],[taux fréq]]*Tableau624[[#This Row],[Prix Achat]]*Bdd!$E$24</f>
        <v>4467.9452054794519</v>
      </c>
      <c r="V31" s="56">
        <v>8</v>
      </c>
      <c r="W31" s="47">
        <f>Tableau624[[#This Row],[fréq/an]]*Tableau624[[#This Row],[GO VC (l)]]*Bdd!$E$22</f>
        <v>4409.2</v>
      </c>
      <c r="X31" s="49">
        <f>Tableau624[[#This Row],[GO VC d/an]]*Bdd!$E$23</f>
        <v>440.92</v>
      </c>
      <c r="Y31" s="63">
        <v>0</v>
      </c>
      <c r="Z31" s="63">
        <v>1</v>
      </c>
      <c r="AA31" s="63">
        <v>0</v>
      </c>
      <c r="AB31" s="64">
        <f>(Tableau624[[#This Row],[Chauf P]]+Tableau624[[#This Row],[Chau OM]]+Tableau624[[#This Row],[Chau OD]])*Bdd!$E$36</f>
        <v>1.26</v>
      </c>
      <c r="AC31" s="65">
        <v>1</v>
      </c>
      <c r="AD31" s="63">
        <v>0</v>
      </c>
      <c r="AE31" s="63">
        <v>0</v>
      </c>
      <c r="AF31" s="64">
        <f>(Tableau624[[#This Row],[Ouv P]]+Tableau624[[#This Row],[Ouv OM]]+Tableau624[[#This Row],[Ouv OD]])*Bdd!$E$36</f>
        <v>1.26</v>
      </c>
      <c r="AG31" s="65">
        <f>Tableau624[[#This Row],[taux fréq]]*((Tableau624[[#This Row],[Chauf P]]+Tableau624[[#This Row],[Ouv P]])*Bdd!$E$32+(Tableau624[[#This Row],[Chau OM]]+Tableau624[[#This Row],[Ouv OM]])*Bdd!$E$33)*(1+Bdd!$E$26)</f>
        <v>16983.156164383563</v>
      </c>
      <c r="AH31" s="65">
        <f>Tableau624[[#This Row],[Don]]+Tableau624[[#This Row],[Bud Com]]</f>
        <v>0</v>
      </c>
      <c r="AI31" s="66">
        <v>0</v>
      </c>
      <c r="AJ31" s="66">
        <v>0</v>
      </c>
      <c r="AK31" s="65">
        <f>IF(Tableau624[[#This Row],[Nb Pick-up]]&gt;0,Tableau624[[#This Row],[Nb Pick-up]]*Calcul!D17,0)</f>
        <v>0</v>
      </c>
      <c r="AL31" s="65">
        <f>IF(Tableau624[[#This Row],[Nb Pick-up]]&gt;0,10,0)</f>
        <v>0</v>
      </c>
      <c r="AM31" s="65">
        <f>IF(Tableau624[[#This Row],[Nb Pick-up]]&gt;0,(Tableau624[[#This Row],[Bud Com]]*Tableau624[[#This Row],[Prix Pup]])/Tableau624[[#This Row],[Durée Am Pup]],0)</f>
        <v>0</v>
      </c>
      <c r="AN31" s="65">
        <v>0</v>
      </c>
      <c r="AO31" s="65">
        <f>Tableau624[[#This Row],[fréq/an]]*Tableau624[[#This Row],[Nb Pick-up]]*Tableau624[[#This Row],[GO Pup]]*Bdd!$E$22</f>
        <v>0</v>
      </c>
      <c r="AP31" s="65">
        <f>Tableau624[[#This Row],[GO Pup TND/an]]*Bdd!$E$23</f>
        <v>0</v>
      </c>
      <c r="AQ31" s="66">
        <v>0</v>
      </c>
      <c r="AR31" s="66">
        <v>0</v>
      </c>
      <c r="AS31" s="65">
        <f>Tableau624[[#This Row],[taux fréq]]*((Tableau624[[#This Row],[Nb Pick-up]]+Tableau624[[#This Row],[Ouv P (PK)]])*Bdd!$E$32+Tableau624[[#This Row],[Ouv OM (PK)]]*Bdd!$E$33)*(1+Bdd!$E$26)*Bdd!$E$37</f>
        <v>0</v>
      </c>
      <c r="AT31" s="65">
        <f>Tableau624[[#This Row],[taux fréq]]*Tableau624[[#This Row],[Nb Pick-up]]*Tableau624[[#This Row],[Prix Pup]]*Bdd!$E$24</f>
        <v>0</v>
      </c>
      <c r="AU31" s="66">
        <v>0</v>
      </c>
      <c r="AV31" s="66">
        <v>0</v>
      </c>
      <c r="AW31" s="66">
        <v>0</v>
      </c>
      <c r="AX31" s="65">
        <f>IF(Tableau624[[#This Row],[Nb Tx]]&gt;0,Tableau624[[#This Row],[taux fréq]]*Tableau624[[#This Row],[Nb Tx]]*Tableau624[[#This Row],[Prix Tx]]/Tableau624[[#This Row],[Durée Am]],0)</f>
        <v>0</v>
      </c>
      <c r="AY31" s="65"/>
      <c r="AZ31" s="65">
        <f>Tableau624[[#This Row],[fréq/an]]*Tableau624[[#This Row],[Nb Tx]]*Tableau624[[#This Row],[GO Tx l/séance]]*Bdd!$E$22</f>
        <v>0</v>
      </c>
      <c r="BA31" s="65">
        <f>Tableau624[[#This Row],[GO TND/an]]*Bdd!$E$23</f>
        <v>0</v>
      </c>
      <c r="BB31" s="65">
        <f>Tableau624[[#This Row],[taux fréq]]*Tableau624[[#This Row],[Nb Tx]]*Tableau624[[#This Row],[Prix Tx]]*Bdd!$E$24</f>
        <v>0</v>
      </c>
      <c r="BC31" s="65">
        <f>Tableau624[[#This Row],[taux fréq]]*Tableau624[[#This Row],[Nb Tx]]*Bdd!$E$32*Bdd!$E$36*(1+Bdd!$E$26)</f>
        <v>0</v>
      </c>
      <c r="BD31" s="65">
        <v>0</v>
      </c>
      <c r="BE31" s="65">
        <f>(Tableau624[[#This Row],[Nb C770]]*Bdd!$D$5)</f>
        <v>0</v>
      </c>
      <c r="BF31" s="65">
        <v>0</v>
      </c>
      <c r="BG31" s="66">
        <f>(Tableau624[[#This Row],[Nb C240]]*Bdd!$D$6)</f>
        <v>0</v>
      </c>
      <c r="BH31" s="65">
        <v>0</v>
      </c>
      <c r="BI31" s="65">
        <f>(Tableau624[[#This Row],[Nb Brouettes]]*Bdd!$D$7)</f>
        <v>0</v>
      </c>
      <c r="BJ31" s="66">
        <f>(Tableau624[[#This Row],[C770 TND/an]]+Tableau624[[#This Row],[Brouettes TND/an]]+Tableau624[[#This Row],[C240 TND/an3]])/Bdd!$E$5</f>
        <v>0</v>
      </c>
      <c r="BK31" s="47">
        <f>(Tableau624[[#This Row],[C770 TND/an]]+Tableau624[[#This Row],[C240 TND/an3]]+Tableau624[[#This Row],[Brouettes TND/an]])*Bdd!$E$24</f>
        <v>0</v>
      </c>
      <c r="BL31" s="47">
        <v>0</v>
      </c>
      <c r="BM31" s="66">
        <v>2</v>
      </c>
      <c r="BN31" s="66">
        <v>0</v>
      </c>
      <c r="BO31" s="70">
        <f>Tableau624[[#This Row],[Nb Ouv P]]+Tableau624[[#This Row],[Nb OM]]+Tableau624[[#This Row],[Nb OD]]</f>
        <v>2</v>
      </c>
      <c r="BP31" s="47">
        <f>Tableau624[[#This Row],[taux fréq]]*(Tableau624[[#This Row],[Nb Ouv P]]*Bdd!$E$32+Tableau624[[#This Row],[Nb OM]]*Bdd!$E$33)*(1+Bdd!$E$26)</f>
        <v>11030.860273972605</v>
      </c>
      <c r="BQ31" s="61">
        <f>Tableau624[[#This Row],[chauf maj]]+Tableau624[[#This Row],[Nb Pick-up]]+Tableau624[[#This Row],[Nb Tx]]</f>
        <v>1.26</v>
      </c>
      <c r="BR31" s="47">
        <f>Tableau624[[#This Row],[Ebou maj]]+Tableau624[[#This Row],[Nb Pick-up]]+Tableau624[[#This Row],[Nb Tx]]+Tableau624[[#This Row],[Nb Ouv P]]+Tableau624[[#This Row],[Nb OM]]+Tableau624[[#This Row],[Nb OD]]</f>
        <v>3.26</v>
      </c>
      <c r="BS31" s="47">
        <f>Tableau624[[#This Row],[Total 1 chaffeurs]]*Bdd!$E$39</f>
        <v>504</v>
      </c>
      <c r="BT31" s="47">
        <f>Tableau624[[#This Row],[Total 2 ouvriers]]*Bdd!$E$40</f>
        <v>1108.3999999999999</v>
      </c>
      <c r="BU31" s="47">
        <f>Tableau624[[#This Row],[Total 1 chaffeurs]]+Tableau624[[#This Row],[Total 2 ouvriers]]</f>
        <v>4.5199999999999996</v>
      </c>
      <c r="BV31" s="65">
        <f>Tableau624[[#This Row],[Am C+b]]+Tableau624[[#This Row],[Amo Pup]]+Tableau624[[#This Row],[Amo VC]]+Tableau624[[#This Row],[Am Tx TND/an]]</f>
        <v>3723.2876712328771</v>
      </c>
      <c r="BW31" s="65">
        <f>Tableau624[[#This Row],[salaires VCTND/an]]+Tableau624[[#This Row],[Salaire Pup TND/an]]+Tableau624[[#This Row],[salaire pré-col TND/an]]+Tableau624[[#This Row],[Salaire TND/an]]</f>
        <v>28014.016438356168</v>
      </c>
      <c r="BX31" s="66">
        <f>Tableau624[[#This Row],[Tenues chauf TND]]+Tableau624[[#This Row],[Tenues ouv TND]]</f>
        <v>1612.3999999999999</v>
      </c>
      <c r="BY31" s="66">
        <f>Tableau624[[#This Row],[Total 1+2]]*Bdd!$E$41*(Bdd!$E$25-Bdd!$E$35)</f>
        <v>1537.704</v>
      </c>
      <c r="BZ31" s="66">
        <f>Tableau624[[#This Row],[GO VC d/an]]+Tableau624[[#This Row],[Lub VC d/an]]+Tableau624[[#This Row],[GO Pup TND/an]]+Tableau624[[#This Row],[Lub Pup TND/an]]+Tableau624[[#This Row],[GO TND/an]]+Tableau624[[#This Row],[Lub Tx TND/an]]</f>
        <v>4850.12</v>
      </c>
      <c r="CA31" s="66">
        <f>Tableau624[[#This Row],[Rép Cont]]+Tableau624[[#This Row],[Rép Pup TND/an]]+Tableau624[[#This Row],[Rép VC]]+Tableau624[[#This Row],[Répar Tx TND/an]]</f>
        <v>4467.9452054794519</v>
      </c>
      <c r="CB31" s="66">
        <v>0</v>
      </c>
      <c r="CC31" s="66">
        <v>0</v>
      </c>
      <c r="CD31" s="66">
        <f>Tableau624[[#This Row],[Tcol/an]]*Bdd!$E$42</f>
        <v>0</v>
      </c>
      <c r="CE31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44205.473315068499</v>
      </c>
      <c r="CF31" s="66">
        <f>Tableau624[[#This Row],[Frais exploitatio]]*Bdd!$E$27</f>
        <v>8841.0946630137005</v>
      </c>
      <c r="CG31" s="71">
        <f>Tableau624[[#This Row],[Frais exploitatio]]+Tableau624[[#This Row],[Frais généraux]]</f>
        <v>53046.567978082196</v>
      </c>
      <c r="CH31" s="107">
        <f>Tableau624[[#This Row],[Coût total ]]/Tableau624[[#This Row],[Tcol/an]]</f>
        <v>135.11606718818695</v>
      </c>
    </row>
    <row r="32" spans="1:86" ht="15" customHeight="1" x14ac:dyDescent="0.35">
      <c r="A32" s="39"/>
      <c r="B32" s="102" t="s">
        <v>98</v>
      </c>
      <c r="C32" s="103" t="s">
        <v>104</v>
      </c>
      <c r="D32" s="104" t="s">
        <v>105</v>
      </c>
      <c r="E32" s="69" t="s">
        <v>106</v>
      </c>
      <c r="F32" s="57">
        <v>10</v>
      </c>
      <c r="G32" s="60">
        <v>0.2</v>
      </c>
      <c r="H32" s="61">
        <v>2</v>
      </c>
      <c r="I32" s="45">
        <v>302</v>
      </c>
      <c r="J32" s="52">
        <f>Tableau624[[#This Row],[fréq/an]]/Bdd!$E$25</f>
        <v>0.82739726027397265</v>
      </c>
      <c r="K32" s="53">
        <f>Tableau624[[#This Row],[Nb voyage]]*Tableau624[[#This Row],[densité DMA]]*Tableau624[[#This Row],[V : m3]]</f>
        <v>4</v>
      </c>
      <c r="L32" s="53">
        <v>1.8</v>
      </c>
      <c r="M32" s="53">
        <f>Tableau624[[#This Row],[Nb voyage]]*Tableau624[[#This Row],[T col / V]]</f>
        <v>3.6</v>
      </c>
      <c r="N32" s="62">
        <f>Tableau624[[#This Row],[Tcol/an]]/Tableau624[[#This Row],[T Max T/an]]</f>
        <v>0.9</v>
      </c>
      <c r="O32" s="49">
        <f>Tableau624[[#This Row],[fréq/an]]*Tableau624[[#This Row],[Tmax/ séance]]</f>
        <v>1208</v>
      </c>
      <c r="P32" s="47">
        <f>Tableau624[[#This Row],[fréq/an]]*Tableau624[[#This Row],[T col / séance]]</f>
        <v>1087.2</v>
      </c>
      <c r="Q32" s="48">
        <v>1</v>
      </c>
      <c r="R32" s="57">
        <v>75000</v>
      </c>
      <c r="S32" s="54">
        <v>10</v>
      </c>
      <c r="T32" s="47">
        <f>(IF(Tableau624[[#This Row],[Achat / don]]&gt;0,(Tableau624[[#This Row],[taux fréq]]*Tableau624[[#This Row],[Prix Achat]])/Tableau624[[#This Row],[durée Amort]],0))</f>
        <v>6205.4794520547948</v>
      </c>
      <c r="U32" s="55">
        <f>Tableau624[[#This Row],[taux fréq]]*Tableau624[[#This Row],[Prix Achat]]*Bdd!$E$24</f>
        <v>7446.5753424657532</v>
      </c>
      <c r="V32" s="56">
        <v>10</v>
      </c>
      <c r="W32" s="47">
        <f>Tableau624[[#This Row],[fréq/an]]*Tableau624[[#This Row],[GO VC (l)]]*Bdd!$E$22</f>
        <v>5511.5</v>
      </c>
      <c r="X32" s="49">
        <f>Tableau624[[#This Row],[GO VC d/an]]*Bdd!$E$23</f>
        <v>551.15</v>
      </c>
      <c r="Y32" s="63">
        <v>1</v>
      </c>
      <c r="Z32" s="63">
        <v>0</v>
      </c>
      <c r="AA32" s="63">
        <v>0</v>
      </c>
      <c r="AB32" s="64">
        <f>(Tableau624[[#This Row],[Chauf P]]+Tableau624[[#This Row],[Chau OM]]+Tableau624[[#This Row],[Chau OD]])*Bdd!$E$36</f>
        <v>1.26</v>
      </c>
      <c r="AC32" s="65">
        <v>1</v>
      </c>
      <c r="AD32" s="63">
        <v>2</v>
      </c>
      <c r="AE32" s="63">
        <v>0</v>
      </c>
      <c r="AF32" s="64">
        <f>(Tableau624[[#This Row],[Ouv P]]+Tableau624[[#This Row],[Ouv OM]]+Tableau624[[#This Row],[Ouv OD]])*Bdd!$E$36</f>
        <v>3.7800000000000002</v>
      </c>
      <c r="AG32" s="65">
        <f>Tableau624[[#This Row],[taux fréq]]*((Tableau624[[#This Row],[Chauf P]]+Tableau624[[#This Row],[Ouv P]])*Bdd!$E$32+(Tableau624[[#This Row],[Chau OM]]+Tableau624[[#This Row],[Ouv OM]])*Bdd!$E$33)*(1+Bdd!$E$26)</f>
        <v>33966.312328767126</v>
      </c>
      <c r="AH32" s="65">
        <f>Tableau624[[#This Row],[Don]]+Tableau624[[#This Row],[Bud Com]]</f>
        <v>0</v>
      </c>
      <c r="AI32" s="66">
        <v>0</v>
      </c>
      <c r="AJ32" s="66">
        <v>0</v>
      </c>
      <c r="AK32" s="65">
        <f>IF(Tableau624[[#This Row],[Nb Pick-up]]&gt;0,Tableau624[[#This Row],[Nb Pick-up]]*Calcul!D18,0)</f>
        <v>0</v>
      </c>
      <c r="AL32" s="65">
        <f>IF(Tableau624[[#This Row],[Nb Pick-up]]&gt;0,10,0)</f>
        <v>0</v>
      </c>
      <c r="AM32" s="65">
        <f>IF(Tableau624[[#This Row],[Nb Pick-up]]&gt;0,(Tableau624[[#This Row],[Bud Com]]*Tableau624[[#This Row],[Prix Pup]])/Tableau624[[#This Row],[Durée Am Pup]],0)</f>
        <v>0</v>
      </c>
      <c r="AN32" s="65">
        <v>0</v>
      </c>
      <c r="AO32" s="65">
        <f>Tableau624[[#This Row],[fréq/an]]*Tableau624[[#This Row],[Nb Pick-up]]*Tableau624[[#This Row],[GO Pup]]*Bdd!$E$22</f>
        <v>0</v>
      </c>
      <c r="AP32" s="65">
        <f>Tableau624[[#This Row],[GO Pup TND/an]]*Bdd!$E$23</f>
        <v>0</v>
      </c>
      <c r="AQ32" s="66">
        <v>0</v>
      </c>
      <c r="AR32" s="66">
        <v>0</v>
      </c>
      <c r="AS32" s="65">
        <f>Tableau624[[#This Row],[taux fréq]]*((Tableau624[[#This Row],[Nb Pick-up]]+Tableau624[[#This Row],[Ouv P (PK)]])*Bdd!$E$32+Tableau624[[#This Row],[Ouv OM (PK)]]*Bdd!$E$33)*(1+Bdd!$E$26)*Bdd!$E$37</f>
        <v>0</v>
      </c>
      <c r="AT32" s="65">
        <f>Tableau624[[#This Row],[taux fréq]]*Tableau624[[#This Row],[Nb Pick-up]]*Tableau624[[#This Row],[Prix Pup]]*Bdd!$E$24</f>
        <v>0</v>
      </c>
      <c r="AU32" s="66">
        <v>0</v>
      </c>
      <c r="AV32" s="66">
        <v>0</v>
      </c>
      <c r="AW32" s="66">
        <v>0</v>
      </c>
      <c r="AX32" s="65">
        <f>IF(Tableau624[[#This Row],[Nb Tx]]&gt;0,Tableau624[[#This Row],[taux fréq]]*Tableau624[[#This Row],[Nb Tx]]*Tableau624[[#This Row],[Prix Tx]]/Tableau624[[#This Row],[Durée Am]],0)</f>
        <v>0</v>
      </c>
      <c r="AY32" s="65"/>
      <c r="AZ32" s="65">
        <f>Tableau624[[#This Row],[fréq/an]]*Tableau624[[#This Row],[Nb Tx]]*Tableau624[[#This Row],[GO Tx l/séance]]*Bdd!$E$22</f>
        <v>0</v>
      </c>
      <c r="BA32" s="65">
        <f>Tableau624[[#This Row],[GO TND/an]]*Bdd!$E$23</f>
        <v>0</v>
      </c>
      <c r="BB32" s="65">
        <f>Tableau624[[#This Row],[taux fréq]]*Tableau624[[#This Row],[Nb Tx]]*Tableau624[[#This Row],[Prix Tx]]*Bdd!$E$24</f>
        <v>0</v>
      </c>
      <c r="BC32" s="65">
        <f>Tableau624[[#This Row],[taux fréq]]*Tableau624[[#This Row],[Nb Tx]]*Bdd!$E$32*Bdd!$E$36*(1+Bdd!$E$26)</f>
        <v>0</v>
      </c>
      <c r="BD32" s="65">
        <v>0</v>
      </c>
      <c r="BE32" s="65">
        <f>(Tableau624[[#This Row],[Nb C770]]*Bdd!$D$5)</f>
        <v>0</v>
      </c>
      <c r="BF32" s="65">
        <v>0</v>
      </c>
      <c r="BG32" s="66">
        <f>(Tableau624[[#This Row],[Nb C240]]*Bdd!$D$6)</f>
        <v>0</v>
      </c>
      <c r="BH32" s="65">
        <v>0</v>
      </c>
      <c r="BI32" s="65">
        <f>(Tableau624[[#This Row],[Nb Brouettes]]*Bdd!$D$7)</f>
        <v>0</v>
      </c>
      <c r="BJ32" s="66">
        <f>(Tableau624[[#This Row],[C770 TND/an]]+Tableau624[[#This Row],[Brouettes TND/an]]+Tableau624[[#This Row],[C240 TND/an3]])/Bdd!$E$5</f>
        <v>0</v>
      </c>
      <c r="BK32" s="47">
        <f>(Tableau624[[#This Row],[C770 TND/an]]+Tableau624[[#This Row],[C240 TND/an3]]+Tableau624[[#This Row],[Brouettes TND/an]])*Bdd!$E$24</f>
        <v>0</v>
      </c>
      <c r="BL32" s="47">
        <v>0</v>
      </c>
      <c r="BM32" s="66">
        <v>0</v>
      </c>
      <c r="BN32" s="66">
        <v>0</v>
      </c>
      <c r="BO32" s="70">
        <f>Tableau624[[#This Row],[Nb Ouv P]]+Tableau624[[#This Row],[Nb OM]]+Tableau624[[#This Row],[Nb OD]]</f>
        <v>0</v>
      </c>
      <c r="BP32" s="47">
        <f>Tableau624[[#This Row],[taux fréq]]*(Tableau624[[#This Row],[Nb Ouv P]]*Bdd!$E$32+Tableau624[[#This Row],[Nb OM]]*Bdd!$E$33)*(1+Bdd!$E$26)</f>
        <v>0</v>
      </c>
      <c r="BQ32" s="61">
        <f>Tableau624[[#This Row],[chauf maj]]+Tableau624[[#This Row],[Nb Pick-up]]+Tableau624[[#This Row],[Nb Tx]]</f>
        <v>1.26</v>
      </c>
      <c r="BR32" s="47">
        <f>Tableau624[[#This Row],[Ebou maj]]+Tableau624[[#This Row],[Nb Pick-up]]+Tableau624[[#This Row],[Nb Tx]]+Tableau624[[#This Row],[Nb Ouv P]]+Tableau624[[#This Row],[Nb OM]]+Tableau624[[#This Row],[Nb OD]]</f>
        <v>3.7800000000000002</v>
      </c>
      <c r="BS32" s="47">
        <f>Tableau624[[#This Row],[Total 1 chaffeurs]]*Bdd!$E$39</f>
        <v>504</v>
      </c>
      <c r="BT32" s="47">
        <f>Tableau624[[#This Row],[Total 2 ouvriers]]*Bdd!$E$40</f>
        <v>1285.2</v>
      </c>
      <c r="BU32" s="47">
        <f>Tableau624[[#This Row],[Total 1 chaffeurs]]+Tableau624[[#This Row],[Total 2 ouvriers]]</f>
        <v>5.04</v>
      </c>
      <c r="BV32" s="65">
        <f>Tableau624[[#This Row],[Am C+b]]+Tableau624[[#This Row],[Amo Pup]]+Tableau624[[#This Row],[Amo VC]]+Tableau624[[#This Row],[Am Tx TND/an]]</f>
        <v>6205.4794520547948</v>
      </c>
      <c r="BW32" s="65">
        <f>Tableau624[[#This Row],[salaires VCTND/an]]+Tableau624[[#This Row],[Salaire Pup TND/an]]+Tableau624[[#This Row],[salaire pré-col TND/an]]+Tableau624[[#This Row],[Salaire TND/an]]</f>
        <v>33966.312328767126</v>
      </c>
      <c r="BX32" s="66">
        <f>Tableau624[[#This Row],[Tenues chauf TND]]+Tableau624[[#This Row],[Tenues ouv TND]]</f>
        <v>1789.2</v>
      </c>
      <c r="BY32" s="66">
        <f>Tableau624[[#This Row],[Total 1+2]]*Bdd!$E$41*(Bdd!$E$25-Bdd!$E$35)</f>
        <v>1714.6080000000002</v>
      </c>
      <c r="BZ32" s="66">
        <f>Tableau624[[#This Row],[GO VC d/an]]+Tableau624[[#This Row],[Lub VC d/an]]+Tableau624[[#This Row],[GO Pup TND/an]]+Tableau624[[#This Row],[Lub Pup TND/an]]+Tableau624[[#This Row],[GO TND/an]]+Tableau624[[#This Row],[Lub Tx TND/an]]</f>
        <v>6062.65</v>
      </c>
      <c r="CA32" s="66">
        <f>Tableau624[[#This Row],[Rép Cont]]+Tableau624[[#This Row],[Rép Pup TND/an]]+Tableau624[[#This Row],[Rép VC]]+Tableau624[[#This Row],[Répar Tx TND/an]]</f>
        <v>7446.5753424657532</v>
      </c>
      <c r="CB32" s="66">
        <v>0</v>
      </c>
      <c r="CC32" s="66">
        <v>0</v>
      </c>
      <c r="CD32" s="66">
        <f>Tableau624[[#This Row],[Tcol/an]]*Bdd!$E$42</f>
        <v>0</v>
      </c>
      <c r="CE32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57184.825123287672</v>
      </c>
      <c r="CF32" s="66">
        <f>Tableau624[[#This Row],[Frais exploitatio]]*Bdd!$E$27</f>
        <v>11436.965024657535</v>
      </c>
      <c r="CG32" s="71">
        <f>Tableau624[[#This Row],[Frais exploitatio]]+Tableau624[[#This Row],[Frais généraux]]</f>
        <v>68621.790147945212</v>
      </c>
      <c r="CH32" s="107">
        <f>Tableau624[[#This Row],[Coût total ]]/Tableau624[[#This Row],[Tcol/an]]</f>
        <v>63.117908524600082</v>
      </c>
    </row>
    <row r="33" spans="1:86" ht="15" customHeight="1" x14ac:dyDescent="0.35">
      <c r="A33" s="39"/>
      <c r="B33" s="102" t="s">
        <v>98</v>
      </c>
      <c r="C33" s="103" t="s">
        <v>107</v>
      </c>
      <c r="D33" s="101" t="s">
        <v>108</v>
      </c>
      <c r="E33" s="69" t="s">
        <v>103</v>
      </c>
      <c r="F33" s="57">
        <v>8</v>
      </c>
      <c r="G33" s="60">
        <v>0.2</v>
      </c>
      <c r="H33" s="61">
        <v>1</v>
      </c>
      <c r="I33" s="45">
        <v>302</v>
      </c>
      <c r="J33" s="52">
        <f>Tableau624[[#This Row],[fréq/an]]/Bdd!$E$25</f>
        <v>0.82739726027397265</v>
      </c>
      <c r="K33" s="53">
        <f>Tableau624[[#This Row],[Nb voyage]]*Tableau624[[#This Row],[densité DMA]]*Tableau624[[#This Row],[V : m3]]</f>
        <v>1.6</v>
      </c>
      <c r="L33" s="53">
        <v>1.2</v>
      </c>
      <c r="M33" s="53">
        <f>Tableau624[[#This Row],[Nb voyage]]*Tableau624[[#This Row],[T col / V]]</f>
        <v>1.2</v>
      </c>
      <c r="N33" s="62">
        <f>Tableau624[[#This Row],[Tcol/an]]/Tableau624[[#This Row],[T Max T/an]]</f>
        <v>0.74999999999999989</v>
      </c>
      <c r="O33" s="49">
        <f>Tableau624[[#This Row],[fréq/an]]*Tableau624[[#This Row],[Tmax/ séance]]</f>
        <v>483.20000000000005</v>
      </c>
      <c r="P33" s="47">
        <f>Tableau624[[#This Row],[fréq/an]]*Tableau624[[#This Row],[T col / séance]]</f>
        <v>362.4</v>
      </c>
      <c r="Q33" s="48">
        <v>1</v>
      </c>
      <c r="R33" s="57">
        <v>45000</v>
      </c>
      <c r="S33" s="54">
        <v>10</v>
      </c>
      <c r="T33" s="47">
        <f>(IF(Tableau624[[#This Row],[Achat / don]]&gt;0,(Tableau624[[#This Row],[taux fréq]]*Tableau624[[#This Row],[Prix Achat]])/Tableau624[[#This Row],[durée Amort]],0))</f>
        <v>3723.2876712328771</v>
      </c>
      <c r="U33" s="55">
        <f>Tableau624[[#This Row],[taux fréq]]*Tableau624[[#This Row],[Prix Achat]]*Bdd!$E$24</f>
        <v>4467.9452054794519</v>
      </c>
      <c r="V33" s="56">
        <v>8</v>
      </c>
      <c r="W33" s="47">
        <f>Tableau624[[#This Row],[fréq/an]]*Tableau624[[#This Row],[GO VC (l)]]*Bdd!$E$22</f>
        <v>4409.2</v>
      </c>
      <c r="X33" s="49">
        <f>Tableau624[[#This Row],[GO VC d/an]]*Bdd!$E$23</f>
        <v>440.92</v>
      </c>
      <c r="Y33" s="63">
        <v>1</v>
      </c>
      <c r="Z33" s="63">
        <v>0</v>
      </c>
      <c r="AA33" s="63">
        <v>0</v>
      </c>
      <c r="AB33" s="64">
        <f>(Tableau624[[#This Row],[Chauf P]]+Tableau624[[#This Row],[Chau OM]]+Tableau624[[#This Row],[Chau OD]])*Bdd!$E$36</f>
        <v>1.26</v>
      </c>
      <c r="AC33" s="65">
        <v>0</v>
      </c>
      <c r="AD33" s="63">
        <v>0</v>
      </c>
      <c r="AE33" s="63">
        <v>3</v>
      </c>
      <c r="AF33" s="64">
        <f>(Tableau624[[#This Row],[Ouv P]]+Tableau624[[#This Row],[Ouv OM]]+Tableau624[[#This Row],[Ouv OD]])*Bdd!$E$36</f>
        <v>3.7800000000000002</v>
      </c>
      <c r="AG33" s="65">
        <f>Tableau624[[#This Row],[taux fréq]]*((Tableau624[[#This Row],[Chauf P]]+Tableau624[[#This Row],[Ouv P]])*Bdd!$E$32+(Tableau624[[#This Row],[Chau OM]]+Tableau624[[#This Row],[Ouv OM]])*Bdd!$E$33)*(1+Bdd!$E$26)</f>
        <v>11467.726027397262</v>
      </c>
      <c r="AH33" s="65">
        <f>Tableau624[[#This Row],[Don]]+Tableau624[[#This Row],[Bud Com]]</f>
        <v>0</v>
      </c>
      <c r="AI33" s="66">
        <v>0</v>
      </c>
      <c r="AJ33" s="66">
        <v>0</v>
      </c>
      <c r="AK33" s="65">
        <f>IF(Tableau624[[#This Row],[Nb Pick-up]]&gt;0,Tableau624[[#This Row],[Nb Pick-up]]*Calcul!D19,0)</f>
        <v>0</v>
      </c>
      <c r="AL33" s="65">
        <f>IF(Tableau624[[#This Row],[Nb Pick-up]]&gt;0,10,0)</f>
        <v>0</v>
      </c>
      <c r="AM33" s="65">
        <f>IF(Tableau624[[#This Row],[Nb Pick-up]]&gt;0,(Tableau624[[#This Row],[Bud Com]]*Tableau624[[#This Row],[Prix Pup]])/Tableau624[[#This Row],[Durée Am Pup]],0)</f>
        <v>0</v>
      </c>
      <c r="AN33" s="65">
        <v>0</v>
      </c>
      <c r="AO33" s="65">
        <f>Tableau624[[#This Row],[fréq/an]]*Tableau624[[#This Row],[Nb Pick-up]]*Tableau624[[#This Row],[GO Pup]]*Bdd!$E$22</f>
        <v>0</v>
      </c>
      <c r="AP33" s="65">
        <f>Tableau624[[#This Row],[GO Pup TND/an]]*Bdd!$E$23</f>
        <v>0</v>
      </c>
      <c r="AQ33" s="66">
        <v>0</v>
      </c>
      <c r="AR33" s="66">
        <v>0</v>
      </c>
      <c r="AS33" s="65">
        <f>Tableau624[[#This Row],[taux fréq]]*((Tableau624[[#This Row],[Nb Pick-up]]+Tableau624[[#This Row],[Ouv P (PK)]])*Bdd!$E$32+Tableau624[[#This Row],[Ouv OM (PK)]]*Bdd!$E$33)*(1+Bdd!$E$26)*Bdd!$E$37</f>
        <v>0</v>
      </c>
      <c r="AT33" s="65">
        <f>Tableau624[[#This Row],[taux fréq]]*Tableau624[[#This Row],[Nb Pick-up]]*Tableau624[[#This Row],[Prix Pup]]*Bdd!$E$24</f>
        <v>0</v>
      </c>
      <c r="AU33" s="66">
        <v>0</v>
      </c>
      <c r="AV33" s="66">
        <v>0</v>
      </c>
      <c r="AW33" s="66">
        <v>0</v>
      </c>
      <c r="AX33" s="65">
        <f>IF(Tableau624[[#This Row],[Nb Tx]]&gt;0,Tableau624[[#This Row],[taux fréq]]*Tableau624[[#This Row],[Nb Tx]]*Tableau624[[#This Row],[Prix Tx]]/Tableau624[[#This Row],[Durée Am]],0)</f>
        <v>0</v>
      </c>
      <c r="AY33" s="65"/>
      <c r="AZ33" s="65">
        <f>Tableau624[[#This Row],[fréq/an]]*Tableau624[[#This Row],[Nb Tx]]*Tableau624[[#This Row],[GO Tx l/séance]]*Bdd!$E$22</f>
        <v>0</v>
      </c>
      <c r="BA33" s="65">
        <f>Tableau624[[#This Row],[GO TND/an]]*Bdd!$E$23</f>
        <v>0</v>
      </c>
      <c r="BB33" s="65">
        <f>Tableau624[[#This Row],[taux fréq]]*Tableau624[[#This Row],[Nb Tx]]*Tableau624[[#This Row],[Prix Tx]]*Bdd!$E$24</f>
        <v>0</v>
      </c>
      <c r="BC33" s="65">
        <f>Tableau624[[#This Row],[taux fréq]]*Tableau624[[#This Row],[Nb Tx]]*Bdd!$E$32*Bdd!$E$36*(1+Bdd!$E$26)</f>
        <v>0</v>
      </c>
      <c r="BD33" s="65">
        <v>0</v>
      </c>
      <c r="BE33" s="65">
        <f>(Tableau624[[#This Row],[Nb C770]]*Bdd!$D$5)</f>
        <v>0</v>
      </c>
      <c r="BF33" s="65">
        <v>0</v>
      </c>
      <c r="BG33" s="66">
        <f>(Tableau624[[#This Row],[Nb C240]]*Bdd!$D$6)</f>
        <v>0</v>
      </c>
      <c r="BH33" s="65">
        <v>0</v>
      </c>
      <c r="BI33" s="65">
        <f>(Tableau624[[#This Row],[Nb Brouettes]]*Bdd!$D$7)</f>
        <v>0</v>
      </c>
      <c r="BJ33" s="66">
        <f>(Tableau624[[#This Row],[C770 TND/an]]+Tableau624[[#This Row],[Brouettes TND/an]]+Tableau624[[#This Row],[C240 TND/an3]])/Bdd!$E$5</f>
        <v>0</v>
      </c>
      <c r="BK33" s="47">
        <f>(Tableau624[[#This Row],[C770 TND/an]]+Tableau624[[#This Row],[C240 TND/an3]]+Tableau624[[#This Row],[Brouettes TND/an]])*Bdd!$E$24</f>
        <v>0</v>
      </c>
      <c r="BL33" s="47">
        <v>0</v>
      </c>
      <c r="BM33" s="66">
        <v>2</v>
      </c>
      <c r="BN33" s="66">
        <v>0</v>
      </c>
      <c r="BO33" s="70">
        <f>Tableau624[[#This Row],[Nb Ouv P]]+Tableau624[[#This Row],[Nb OM]]+Tableau624[[#This Row],[Nb OD]]</f>
        <v>2</v>
      </c>
      <c r="BP33" s="47">
        <f>Tableau624[[#This Row],[taux fréq]]*(Tableau624[[#This Row],[Nb Ouv P]]*Bdd!$E$32+Tableau624[[#This Row],[Nb OM]]*Bdd!$E$33)*(1+Bdd!$E$26)</f>
        <v>11030.860273972605</v>
      </c>
      <c r="BQ33" s="61">
        <f>Tableau624[[#This Row],[chauf maj]]+Tableau624[[#This Row],[Nb Pick-up]]+Tableau624[[#This Row],[Nb Tx]]</f>
        <v>1.26</v>
      </c>
      <c r="BR33" s="47">
        <f>Tableau624[[#This Row],[Ebou maj]]+Tableau624[[#This Row],[Nb Pick-up]]+Tableau624[[#This Row],[Nb Tx]]+Tableau624[[#This Row],[Nb Ouv P]]+Tableau624[[#This Row],[Nb OM]]+Tableau624[[#This Row],[Nb OD]]</f>
        <v>5.78</v>
      </c>
      <c r="BS33" s="47">
        <f>Tableau624[[#This Row],[Total 1 chaffeurs]]*Bdd!$E$39</f>
        <v>504</v>
      </c>
      <c r="BT33" s="47">
        <f>Tableau624[[#This Row],[Total 2 ouvriers]]*Bdd!$E$40</f>
        <v>1965.2</v>
      </c>
      <c r="BU33" s="47">
        <f>Tableau624[[#This Row],[Total 1 chaffeurs]]+Tableau624[[#This Row],[Total 2 ouvriers]]</f>
        <v>7.04</v>
      </c>
      <c r="BV33" s="65">
        <f>Tableau624[[#This Row],[Am C+b]]+Tableau624[[#This Row],[Amo Pup]]+Tableau624[[#This Row],[Amo VC]]+Tableau624[[#This Row],[Am Tx TND/an]]</f>
        <v>3723.2876712328771</v>
      </c>
      <c r="BW33" s="65">
        <f>Tableau624[[#This Row],[salaires VCTND/an]]+Tableau624[[#This Row],[Salaire Pup TND/an]]+Tableau624[[#This Row],[salaire pré-col TND/an]]+Tableau624[[#This Row],[Salaire TND/an]]</f>
        <v>22498.586301369869</v>
      </c>
      <c r="BX33" s="66">
        <f>Tableau624[[#This Row],[Tenues chauf TND]]+Tableau624[[#This Row],[Tenues ouv TND]]</f>
        <v>2469.1999999999998</v>
      </c>
      <c r="BY33" s="66">
        <f>Tableau624[[#This Row],[Total 1+2]]*Bdd!$E$41*(Bdd!$E$25-Bdd!$E$35)</f>
        <v>2395.0079999999998</v>
      </c>
      <c r="BZ33" s="66">
        <f>Tableau624[[#This Row],[GO VC d/an]]+Tableau624[[#This Row],[Lub VC d/an]]+Tableau624[[#This Row],[GO Pup TND/an]]+Tableau624[[#This Row],[Lub Pup TND/an]]+Tableau624[[#This Row],[GO TND/an]]+Tableau624[[#This Row],[Lub Tx TND/an]]</f>
        <v>4850.12</v>
      </c>
      <c r="CA33" s="66">
        <f>Tableau624[[#This Row],[Rép Cont]]+Tableau624[[#This Row],[Rép Pup TND/an]]+Tableau624[[#This Row],[Rép VC]]+Tableau624[[#This Row],[Répar Tx TND/an]]</f>
        <v>4467.9452054794519</v>
      </c>
      <c r="CB33" s="66">
        <v>0</v>
      </c>
      <c r="CC33" s="66">
        <v>0</v>
      </c>
      <c r="CD33" s="66">
        <f>Tableau624[[#This Row],[Tcol/an]]*Bdd!$E$42</f>
        <v>0</v>
      </c>
      <c r="CE33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40404.147178082196</v>
      </c>
      <c r="CF33" s="66">
        <f>Tableau624[[#This Row],[Frais exploitatio]]*Bdd!$E$27</f>
        <v>8080.8294356164397</v>
      </c>
      <c r="CG33" s="71">
        <f>Tableau624[[#This Row],[Frais exploitatio]]+Tableau624[[#This Row],[Frais généraux]]</f>
        <v>48484.976613698636</v>
      </c>
      <c r="CH33" s="107">
        <f>Tableau624[[#This Row],[Coût total ]]/Tableau624[[#This Row],[Tcol/an]]</f>
        <v>133.78856681484172</v>
      </c>
    </row>
    <row r="34" spans="1:86" ht="15" customHeight="1" x14ac:dyDescent="0.35">
      <c r="A34" s="39"/>
      <c r="B34" s="102" t="s">
        <v>109</v>
      </c>
      <c r="C34" s="103" t="s">
        <v>110</v>
      </c>
      <c r="D34" s="104" t="s">
        <v>111</v>
      </c>
      <c r="E34" s="69" t="s">
        <v>106</v>
      </c>
      <c r="F34" s="57">
        <v>10</v>
      </c>
      <c r="G34" s="60">
        <v>0.2</v>
      </c>
      <c r="H34" s="61">
        <v>1</v>
      </c>
      <c r="I34" s="45">
        <v>302</v>
      </c>
      <c r="J34" s="52">
        <f>Tableau624[[#This Row],[fréq/an]]/Bdd!$E$25</f>
        <v>0.82739726027397265</v>
      </c>
      <c r="K34" s="53">
        <f>Tableau624[[#This Row],[Nb voyage]]*Tableau624[[#This Row],[densité DMA]]*Tableau624[[#This Row],[V : m3]]</f>
        <v>2</v>
      </c>
      <c r="L34" s="53">
        <v>1.5</v>
      </c>
      <c r="M34" s="53">
        <f>Tableau624[[#This Row],[Nb voyage]]*Tableau624[[#This Row],[T col / V]]</f>
        <v>1.5</v>
      </c>
      <c r="N34" s="62">
        <f>Tableau624[[#This Row],[Tcol/an]]/Tableau624[[#This Row],[T Max T/an]]</f>
        <v>0.75</v>
      </c>
      <c r="O34" s="49">
        <f>Tableau624[[#This Row],[fréq/an]]*Tableau624[[#This Row],[Tmax/ séance]]</f>
        <v>604</v>
      </c>
      <c r="P34" s="47">
        <f>Tableau624[[#This Row],[fréq/an]]*Tableau624[[#This Row],[T col / séance]]</f>
        <v>453</v>
      </c>
      <c r="Q34" s="48">
        <v>1</v>
      </c>
      <c r="R34" s="57">
        <v>75000</v>
      </c>
      <c r="S34" s="54">
        <v>10</v>
      </c>
      <c r="T34" s="47">
        <f>(IF(Tableau624[[#This Row],[Achat / don]]&gt;0,(Tableau624[[#This Row],[taux fréq]]*Tableau624[[#This Row],[Prix Achat]])/Tableau624[[#This Row],[durée Amort]],0))</f>
        <v>6205.4794520547948</v>
      </c>
      <c r="U34" s="55">
        <f>Tableau624[[#This Row],[taux fréq]]*Tableau624[[#This Row],[Prix Achat]]*Bdd!$E$24</f>
        <v>7446.5753424657532</v>
      </c>
      <c r="V34" s="56">
        <v>10</v>
      </c>
      <c r="W34" s="47">
        <f>Tableau624[[#This Row],[fréq/an]]*Tableau624[[#This Row],[GO VC (l)]]*Bdd!$E$22</f>
        <v>5511.5</v>
      </c>
      <c r="X34" s="49">
        <f>Tableau624[[#This Row],[GO VC d/an]]*Bdd!$E$23</f>
        <v>551.15</v>
      </c>
      <c r="Y34" s="63">
        <v>1</v>
      </c>
      <c r="Z34" s="63">
        <v>0</v>
      </c>
      <c r="AA34" s="63">
        <v>0</v>
      </c>
      <c r="AB34" s="64">
        <f>(Tableau624[[#This Row],[Chauf P]]+Tableau624[[#This Row],[Chau OM]]+Tableau624[[#This Row],[Chau OD]])*Bdd!$E$36</f>
        <v>1.26</v>
      </c>
      <c r="AC34" s="65">
        <v>1</v>
      </c>
      <c r="AD34" s="63">
        <v>2</v>
      </c>
      <c r="AE34" s="63">
        <v>0</v>
      </c>
      <c r="AF34" s="64">
        <f>(Tableau624[[#This Row],[Ouv P]]+Tableau624[[#This Row],[Ouv OM]]+Tableau624[[#This Row],[Ouv OD]])*Bdd!$E$36</f>
        <v>3.7800000000000002</v>
      </c>
      <c r="AG34" s="65">
        <f>Tableau624[[#This Row],[taux fréq]]*((Tableau624[[#This Row],[Chauf P]]+Tableau624[[#This Row],[Ouv P]])*Bdd!$E$32+(Tableau624[[#This Row],[Chau OM]]+Tableau624[[#This Row],[Ouv OM]])*Bdd!$E$33)*(1+Bdd!$E$26)</f>
        <v>33966.312328767126</v>
      </c>
      <c r="AH34" s="65">
        <f>Tableau624[[#This Row],[Don]]+Tableau624[[#This Row],[Bud Com]]</f>
        <v>0</v>
      </c>
      <c r="AI34" s="66">
        <v>0</v>
      </c>
      <c r="AJ34" s="66">
        <v>0</v>
      </c>
      <c r="AK34" s="65">
        <f>IF(Tableau624[[#This Row],[Nb Pick-up]]&gt;0,Tableau624[[#This Row],[Nb Pick-up]]*Calcul!D20,0)</f>
        <v>0</v>
      </c>
      <c r="AL34" s="65">
        <f>IF(Tableau624[[#This Row],[Nb Pick-up]]&gt;0,10,0)</f>
        <v>0</v>
      </c>
      <c r="AM34" s="65">
        <f>IF(Tableau624[[#This Row],[Nb Pick-up]]&gt;0,(Tableau624[[#This Row],[Bud Com]]*Tableau624[[#This Row],[Prix Pup]])/Tableau624[[#This Row],[Durée Am Pup]],0)</f>
        <v>0</v>
      </c>
      <c r="AN34" s="65">
        <v>0</v>
      </c>
      <c r="AO34" s="65">
        <f>Tableau624[[#This Row],[fréq/an]]*Tableau624[[#This Row],[Nb Pick-up]]*Tableau624[[#This Row],[GO Pup]]*Bdd!$E$22</f>
        <v>0</v>
      </c>
      <c r="AP34" s="65">
        <f>Tableau624[[#This Row],[GO Pup TND/an]]*Bdd!$E$23</f>
        <v>0</v>
      </c>
      <c r="AQ34" s="66">
        <v>0</v>
      </c>
      <c r="AR34" s="66">
        <v>0</v>
      </c>
      <c r="AS34" s="65">
        <f>Tableau624[[#This Row],[taux fréq]]*((Tableau624[[#This Row],[Nb Pick-up]]+Tableau624[[#This Row],[Ouv P (PK)]])*Bdd!$E$32+Tableau624[[#This Row],[Ouv OM (PK)]]*Bdd!$E$33)*(1+Bdd!$E$26)*Bdd!$E$37</f>
        <v>0</v>
      </c>
      <c r="AT34" s="65">
        <f>Tableau624[[#This Row],[taux fréq]]*Tableau624[[#This Row],[Nb Pick-up]]*Tableau624[[#This Row],[Prix Pup]]*Bdd!$E$24</f>
        <v>0</v>
      </c>
      <c r="AU34" s="66">
        <v>0</v>
      </c>
      <c r="AV34" s="66">
        <v>0</v>
      </c>
      <c r="AW34" s="66">
        <v>0</v>
      </c>
      <c r="AX34" s="65">
        <f>IF(Tableau624[[#This Row],[Nb Tx]]&gt;0,Tableau624[[#This Row],[taux fréq]]*Tableau624[[#This Row],[Nb Tx]]*Tableau624[[#This Row],[Prix Tx]]/Tableau624[[#This Row],[Durée Am]],0)</f>
        <v>0</v>
      </c>
      <c r="AY34" s="65"/>
      <c r="AZ34" s="65">
        <f>Tableau624[[#This Row],[fréq/an]]*Tableau624[[#This Row],[Nb Tx]]*Tableau624[[#This Row],[GO Tx l/séance]]*Bdd!$E$22</f>
        <v>0</v>
      </c>
      <c r="BA34" s="65">
        <f>Tableau624[[#This Row],[GO TND/an]]*Bdd!$E$23</f>
        <v>0</v>
      </c>
      <c r="BB34" s="65">
        <f>Tableau624[[#This Row],[taux fréq]]*Tableau624[[#This Row],[Nb Tx]]*Tableau624[[#This Row],[Prix Tx]]*Bdd!$E$24</f>
        <v>0</v>
      </c>
      <c r="BC34" s="65">
        <f>Tableau624[[#This Row],[taux fréq]]*Tableau624[[#This Row],[Nb Tx]]*Bdd!$E$32*Bdd!$E$36*(1+Bdd!$E$26)</f>
        <v>0</v>
      </c>
      <c r="BD34" s="65">
        <v>0</v>
      </c>
      <c r="BE34" s="65">
        <f>(Tableau624[[#This Row],[Nb C770]]*Bdd!$D$5)</f>
        <v>0</v>
      </c>
      <c r="BF34" s="65">
        <v>0</v>
      </c>
      <c r="BG34" s="66">
        <f>(Tableau624[[#This Row],[Nb C240]]*Bdd!$D$6)</f>
        <v>0</v>
      </c>
      <c r="BH34" s="65">
        <v>0</v>
      </c>
      <c r="BI34" s="65">
        <f>(Tableau624[[#This Row],[Nb Brouettes]]*Bdd!$D$7)</f>
        <v>0</v>
      </c>
      <c r="BJ34" s="66">
        <f>(Tableau624[[#This Row],[C770 TND/an]]+Tableau624[[#This Row],[Brouettes TND/an]]+Tableau624[[#This Row],[C240 TND/an3]])/Bdd!$E$5</f>
        <v>0</v>
      </c>
      <c r="BK34" s="47">
        <f>(Tableau624[[#This Row],[C770 TND/an]]+Tableau624[[#This Row],[C240 TND/an3]]+Tableau624[[#This Row],[Brouettes TND/an]])*Bdd!$E$24</f>
        <v>0</v>
      </c>
      <c r="BL34" s="47">
        <v>0</v>
      </c>
      <c r="BM34" s="66">
        <v>0</v>
      </c>
      <c r="BN34" s="66">
        <v>0</v>
      </c>
      <c r="BO34" s="70">
        <f>Tableau624[[#This Row],[Nb Ouv P]]+Tableau624[[#This Row],[Nb OM]]+Tableau624[[#This Row],[Nb OD]]</f>
        <v>0</v>
      </c>
      <c r="BP34" s="47">
        <f>Tableau624[[#This Row],[taux fréq]]*(Tableau624[[#This Row],[Nb Ouv P]]*Bdd!$E$32+Tableau624[[#This Row],[Nb OM]]*Bdd!$E$33)*(1+Bdd!$E$26)</f>
        <v>0</v>
      </c>
      <c r="BQ34" s="61">
        <f>Tableau624[[#This Row],[chauf maj]]+Tableau624[[#This Row],[Nb Pick-up]]+Tableau624[[#This Row],[Nb Tx]]</f>
        <v>1.26</v>
      </c>
      <c r="BR34" s="47">
        <f>Tableau624[[#This Row],[Ebou maj]]+Tableau624[[#This Row],[Nb Pick-up]]+Tableau624[[#This Row],[Nb Tx]]+Tableau624[[#This Row],[Nb Ouv P]]+Tableau624[[#This Row],[Nb OM]]+Tableau624[[#This Row],[Nb OD]]</f>
        <v>3.7800000000000002</v>
      </c>
      <c r="BS34" s="47">
        <f>Tableau624[[#This Row],[Total 1 chaffeurs]]*Bdd!$E$39</f>
        <v>504</v>
      </c>
      <c r="BT34" s="47">
        <f>Tableau624[[#This Row],[Total 2 ouvriers]]*Bdd!$E$40</f>
        <v>1285.2</v>
      </c>
      <c r="BU34" s="47">
        <f>Tableau624[[#This Row],[Total 1 chaffeurs]]+Tableau624[[#This Row],[Total 2 ouvriers]]</f>
        <v>5.04</v>
      </c>
      <c r="BV34" s="65">
        <f>Tableau624[[#This Row],[Am C+b]]+Tableau624[[#This Row],[Amo Pup]]+Tableau624[[#This Row],[Amo VC]]+Tableau624[[#This Row],[Am Tx TND/an]]</f>
        <v>6205.4794520547948</v>
      </c>
      <c r="BW34" s="65">
        <f>Tableau624[[#This Row],[salaires VCTND/an]]+Tableau624[[#This Row],[Salaire Pup TND/an]]+Tableau624[[#This Row],[salaire pré-col TND/an]]+Tableau624[[#This Row],[Salaire TND/an]]</f>
        <v>33966.312328767126</v>
      </c>
      <c r="BX34" s="66">
        <f>Tableau624[[#This Row],[Tenues chauf TND]]+Tableau624[[#This Row],[Tenues ouv TND]]</f>
        <v>1789.2</v>
      </c>
      <c r="BY34" s="66">
        <f>Tableau624[[#This Row],[Total 1+2]]*Bdd!$E$41*(Bdd!$E$25-Bdd!$E$35)</f>
        <v>1714.6080000000002</v>
      </c>
      <c r="BZ34" s="66">
        <f>Tableau624[[#This Row],[GO VC d/an]]+Tableau624[[#This Row],[Lub VC d/an]]+Tableau624[[#This Row],[GO Pup TND/an]]+Tableau624[[#This Row],[Lub Pup TND/an]]+Tableau624[[#This Row],[GO TND/an]]+Tableau624[[#This Row],[Lub Tx TND/an]]</f>
        <v>6062.65</v>
      </c>
      <c r="CA34" s="66">
        <f>Tableau624[[#This Row],[Rép Cont]]+Tableau624[[#This Row],[Rép Pup TND/an]]+Tableau624[[#This Row],[Rép VC]]+Tableau624[[#This Row],[Répar Tx TND/an]]</f>
        <v>7446.5753424657532</v>
      </c>
      <c r="CB34" s="66">
        <v>0</v>
      </c>
      <c r="CC34" s="66">
        <v>0</v>
      </c>
      <c r="CD34" s="66">
        <f>Tableau624[[#This Row],[Tcol/an]]*Bdd!$E$42</f>
        <v>0</v>
      </c>
      <c r="CE34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57184.825123287672</v>
      </c>
      <c r="CF34" s="66">
        <f>Tableau624[[#This Row],[Frais exploitatio]]*Bdd!$E$27</f>
        <v>11436.965024657535</v>
      </c>
      <c r="CG34" s="71">
        <f>Tableau624[[#This Row],[Frais exploitatio]]+Tableau624[[#This Row],[Frais généraux]]</f>
        <v>68621.790147945212</v>
      </c>
      <c r="CH34" s="107">
        <f>Tableau624[[#This Row],[Coût total ]]/Tableau624[[#This Row],[Tcol/an]]</f>
        <v>151.48298045904019</v>
      </c>
    </row>
    <row r="35" spans="1:86" ht="15" customHeight="1" x14ac:dyDescent="0.35">
      <c r="A35" s="39"/>
      <c r="B35" s="102" t="s">
        <v>109</v>
      </c>
      <c r="C35" s="103" t="s">
        <v>112</v>
      </c>
      <c r="D35" s="101" t="s">
        <v>113</v>
      </c>
      <c r="E35" s="69" t="s">
        <v>106</v>
      </c>
      <c r="F35" s="57">
        <v>10</v>
      </c>
      <c r="G35" s="60">
        <v>0.2</v>
      </c>
      <c r="H35" s="61">
        <v>1</v>
      </c>
      <c r="I35" s="45">
        <v>302</v>
      </c>
      <c r="J35" s="52">
        <f>Tableau624[[#This Row],[fréq/an]]/Bdd!$E$25</f>
        <v>0.82739726027397265</v>
      </c>
      <c r="K35" s="53">
        <f>Tableau624[[#This Row],[Nb voyage]]*Tableau624[[#This Row],[densité DMA]]*Tableau624[[#This Row],[V : m3]]</f>
        <v>2</v>
      </c>
      <c r="L35" s="53">
        <v>1.6</v>
      </c>
      <c r="M35" s="53">
        <f>Tableau624[[#This Row],[Nb voyage]]*Tableau624[[#This Row],[T col / V]]</f>
        <v>1.6</v>
      </c>
      <c r="N35" s="62">
        <f>Tableau624[[#This Row],[Tcol/an]]/Tableau624[[#This Row],[T Max T/an]]</f>
        <v>0.8</v>
      </c>
      <c r="O35" s="49">
        <f>Tableau624[[#This Row],[fréq/an]]*Tableau624[[#This Row],[Tmax/ séance]]</f>
        <v>604</v>
      </c>
      <c r="P35" s="47">
        <f>Tableau624[[#This Row],[fréq/an]]*Tableau624[[#This Row],[T col / séance]]</f>
        <v>483.20000000000005</v>
      </c>
      <c r="Q35" s="48">
        <v>1</v>
      </c>
      <c r="R35" s="57">
        <v>75000</v>
      </c>
      <c r="S35" s="54">
        <v>10</v>
      </c>
      <c r="T35" s="47">
        <f>(IF(Tableau624[[#This Row],[Achat / don]]&gt;0,(Tableau624[[#This Row],[taux fréq]]*Tableau624[[#This Row],[Prix Achat]])/Tableau624[[#This Row],[durée Amort]],0))</f>
        <v>6205.4794520547948</v>
      </c>
      <c r="U35" s="55">
        <f>Tableau624[[#This Row],[taux fréq]]*Tableau624[[#This Row],[Prix Achat]]*Bdd!$E$24</f>
        <v>7446.5753424657532</v>
      </c>
      <c r="V35" s="56">
        <v>10</v>
      </c>
      <c r="W35" s="47">
        <f>Tableau624[[#This Row],[fréq/an]]*Tableau624[[#This Row],[GO VC (l)]]*Bdd!$E$22</f>
        <v>5511.5</v>
      </c>
      <c r="X35" s="49">
        <f>Tableau624[[#This Row],[GO VC d/an]]*Bdd!$E$23</f>
        <v>551.15</v>
      </c>
      <c r="Y35" s="63">
        <v>1</v>
      </c>
      <c r="Z35" s="63">
        <v>0</v>
      </c>
      <c r="AA35" s="63">
        <v>0</v>
      </c>
      <c r="AB35" s="64">
        <f>(Tableau624[[#This Row],[Chauf P]]+Tableau624[[#This Row],[Chau OM]]+Tableau624[[#This Row],[Chau OD]])*Bdd!$E$36</f>
        <v>1.26</v>
      </c>
      <c r="AC35" s="65">
        <v>0</v>
      </c>
      <c r="AD35" s="63">
        <v>1</v>
      </c>
      <c r="AE35" s="63">
        <v>2</v>
      </c>
      <c r="AF35" s="64">
        <f>(Tableau624[[#This Row],[Ouv P]]+Tableau624[[#This Row],[Ouv OM]]+Tableau624[[#This Row],[Ouv OD]])*Bdd!$E$36</f>
        <v>3.7800000000000002</v>
      </c>
      <c r="AG35" s="65">
        <f>Tableau624[[#This Row],[taux fréq]]*((Tableau624[[#This Row],[Chauf P]]+Tableau624[[#This Row],[Ouv P]])*Bdd!$E$32+(Tableau624[[#This Row],[Chau OM]]+Tableau624[[#This Row],[Ouv OM]])*Bdd!$E$33)*(1+Bdd!$E$26)</f>
        <v>16983.156164383563</v>
      </c>
      <c r="AH35" s="65">
        <f>Tableau624[[#This Row],[Don]]+Tableau624[[#This Row],[Bud Com]]</f>
        <v>0</v>
      </c>
      <c r="AI35" s="66">
        <v>0</v>
      </c>
      <c r="AJ35" s="66">
        <v>0</v>
      </c>
      <c r="AK35" s="65">
        <f>IF(Tableau624[[#This Row],[Nb Pick-up]]&gt;0,Tableau624[[#This Row],[Nb Pick-up]]*Calcul!D21,0)</f>
        <v>0</v>
      </c>
      <c r="AL35" s="65">
        <f>IF(Tableau624[[#This Row],[Nb Pick-up]]&gt;0,10,0)</f>
        <v>0</v>
      </c>
      <c r="AM35" s="65">
        <f>IF(Tableau624[[#This Row],[Nb Pick-up]]&gt;0,(Tableau624[[#This Row],[Bud Com]]*Tableau624[[#This Row],[Prix Pup]])/Tableau624[[#This Row],[Durée Am Pup]],0)</f>
        <v>0</v>
      </c>
      <c r="AN35" s="65">
        <v>0</v>
      </c>
      <c r="AO35" s="65">
        <f>Tableau624[[#This Row],[fréq/an]]*Tableau624[[#This Row],[Nb Pick-up]]*Tableau624[[#This Row],[GO Pup]]*Bdd!$E$22</f>
        <v>0</v>
      </c>
      <c r="AP35" s="65">
        <f>Tableau624[[#This Row],[GO Pup TND/an]]*Bdd!$E$23</f>
        <v>0</v>
      </c>
      <c r="AQ35" s="66">
        <v>0</v>
      </c>
      <c r="AR35" s="66">
        <v>0</v>
      </c>
      <c r="AS35" s="65">
        <f>Tableau624[[#This Row],[taux fréq]]*((Tableau624[[#This Row],[Nb Pick-up]]+Tableau624[[#This Row],[Ouv P (PK)]])*Bdd!$E$32+Tableau624[[#This Row],[Ouv OM (PK)]]*Bdd!$E$33)*(1+Bdd!$E$26)*Bdd!$E$37</f>
        <v>0</v>
      </c>
      <c r="AT35" s="65">
        <f>Tableau624[[#This Row],[taux fréq]]*Tableau624[[#This Row],[Nb Pick-up]]*Tableau624[[#This Row],[Prix Pup]]*Bdd!$E$24</f>
        <v>0</v>
      </c>
      <c r="AU35" s="66">
        <v>0</v>
      </c>
      <c r="AV35" s="66">
        <v>0</v>
      </c>
      <c r="AW35" s="66">
        <v>0</v>
      </c>
      <c r="AX35" s="65">
        <f>IF(Tableau624[[#This Row],[Nb Tx]]&gt;0,Tableau624[[#This Row],[taux fréq]]*Tableau624[[#This Row],[Nb Tx]]*Tableau624[[#This Row],[Prix Tx]]/Tableau624[[#This Row],[Durée Am]],0)</f>
        <v>0</v>
      </c>
      <c r="AY35" s="65"/>
      <c r="AZ35" s="65">
        <f>Tableau624[[#This Row],[fréq/an]]*Tableau624[[#This Row],[Nb Tx]]*Tableau624[[#This Row],[GO Tx l/séance]]*Bdd!$E$22</f>
        <v>0</v>
      </c>
      <c r="BA35" s="65">
        <f>Tableau624[[#This Row],[GO TND/an]]*Bdd!$E$23</f>
        <v>0</v>
      </c>
      <c r="BB35" s="65">
        <f>Tableau624[[#This Row],[taux fréq]]*Tableau624[[#This Row],[Nb Tx]]*Tableau624[[#This Row],[Prix Tx]]*Bdd!$E$24</f>
        <v>0</v>
      </c>
      <c r="BC35" s="65">
        <f>Tableau624[[#This Row],[taux fréq]]*Tableau624[[#This Row],[Nb Tx]]*Bdd!$E$32*Bdd!$E$36*(1+Bdd!$E$26)</f>
        <v>0</v>
      </c>
      <c r="BD35" s="65">
        <v>0</v>
      </c>
      <c r="BE35" s="65">
        <f>(Tableau624[[#This Row],[Nb C770]]*Bdd!$D$5)</f>
        <v>0</v>
      </c>
      <c r="BF35" s="65">
        <v>0</v>
      </c>
      <c r="BG35" s="66">
        <f>(Tableau624[[#This Row],[Nb C240]]*Bdd!$D$6)</f>
        <v>0</v>
      </c>
      <c r="BH35" s="65">
        <v>0</v>
      </c>
      <c r="BI35" s="65">
        <f>(Tableau624[[#This Row],[Nb Brouettes]]*Bdd!$D$7)</f>
        <v>0</v>
      </c>
      <c r="BJ35" s="66">
        <f>(Tableau624[[#This Row],[C770 TND/an]]+Tableau624[[#This Row],[Brouettes TND/an]]+Tableau624[[#This Row],[C240 TND/an3]])/Bdd!$E$5</f>
        <v>0</v>
      </c>
      <c r="BK35" s="47">
        <f>(Tableau624[[#This Row],[C770 TND/an]]+Tableau624[[#This Row],[C240 TND/an3]]+Tableau624[[#This Row],[Brouettes TND/an]])*Bdd!$E$24</f>
        <v>0</v>
      </c>
      <c r="BL35" s="47">
        <v>0</v>
      </c>
      <c r="BM35" s="66">
        <v>2</v>
      </c>
      <c r="BN35" s="66">
        <v>0</v>
      </c>
      <c r="BO35" s="70">
        <f>Tableau624[[#This Row],[Nb Ouv P]]+Tableau624[[#This Row],[Nb OM]]+Tableau624[[#This Row],[Nb OD]]</f>
        <v>2</v>
      </c>
      <c r="BP35" s="47">
        <f>Tableau624[[#This Row],[taux fréq]]*(Tableau624[[#This Row],[Nb Ouv P]]*Bdd!$E$32+Tableau624[[#This Row],[Nb OM]]*Bdd!$E$33)*(1+Bdd!$E$26)</f>
        <v>11030.860273972605</v>
      </c>
      <c r="BQ35" s="61">
        <f>Tableau624[[#This Row],[chauf maj]]+Tableau624[[#This Row],[Nb Pick-up]]+Tableau624[[#This Row],[Nb Tx]]</f>
        <v>1.26</v>
      </c>
      <c r="BR35" s="47">
        <f>Tableau624[[#This Row],[Ebou maj]]+Tableau624[[#This Row],[Nb Pick-up]]+Tableau624[[#This Row],[Nb Tx]]+Tableau624[[#This Row],[Nb Ouv P]]+Tableau624[[#This Row],[Nb OM]]+Tableau624[[#This Row],[Nb OD]]</f>
        <v>5.78</v>
      </c>
      <c r="BS35" s="47">
        <f>Tableau624[[#This Row],[Total 1 chaffeurs]]*Bdd!$E$39</f>
        <v>504</v>
      </c>
      <c r="BT35" s="47">
        <f>Tableau624[[#This Row],[Total 2 ouvriers]]*Bdd!$E$40</f>
        <v>1965.2</v>
      </c>
      <c r="BU35" s="47">
        <f>Tableau624[[#This Row],[Total 1 chaffeurs]]+Tableau624[[#This Row],[Total 2 ouvriers]]</f>
        <v>7.04</v>
      </c>
      <c r="BV35" s="65">
        <f>Tableau624[[#This Row],[Am C+b]]+Tableau624[[#This Row],[Amo Pup]]+Tableau624[[#This Row],[Amo VC]]+Tableau624[[#This Row],[Am Tx TND/an]]</f>
        <v>6205.4794520547948</v>
      </c>
      <c r="BW35" s="65">
        <f>Tableau624[[#This Row],[salaires VCTND/an]]+Tableau624[[#This Row],[Salaire Pup TND/an]]+Tableau624[[#This Row],[salaire pré-col TND/an]]+Tableau624[[#This Row],[Salaire TND/an]]</f>
        <v>28014.016438356168</v>
      </c>
      <c r="BX35" s="66">
        <f>Tableau624[[#This Row],[Tenues chauf TND]]+Tableau624[[#This Row],[Tenues ouv TND]]</f>
        <v>2469.1999999999998</v>
      </c>
      <c r="BY35" s="66">
        <f>Tableau624[[#This Row],[Total 1+2]]*Bdd!$E$41*(Bdd!$E$25-Bdd!$E$35)</f>
        <v>2395.0079999999998</v>
      </c>
      <c r="BZ35" s="66">
        <f>Tableau624[[#This Row],[GO VC d/an]]+Tableau624[[#This Row],[Lub VC d/an]]+Tableau624[[#This Row],[GO Pup TND/an]]+Tableau624[[#This Row],[Lub Pup TND/an]]+Tableau624[[#This Row],[GO TND/an]]+Tableau624[[#This Row],[Lub Tx TND/an]]</f>
        <v>6062.65</v>
      </c>
      <c r="CA35" s="66">
        <f>Tableau624[[#This Row],[Rép Cont]]+Tableau624[[#This Row],[Rép Pup TND/an]]+Tableau624[[#This Row],[Rép VC]]+Tableau624[[#This Row],[Répar Tx TND/an]]</f>
        <v>7446.5753424657532</v>
      </c>
      <c r="CB35" s="66">
        <v>0</v>
      </c>
      <c r="CC35" s="66">
        <v>0</v>
      </c>
      <c r="CD35" s="66">
        <f>Tableau624[[#This Row],[Tcol/an]]*Bdd!$E$42</f>
        <v>0</v>
      </c>
      <c r="CE35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52592.929232876719</v>
      </c>
      <c r="CF35" s="66">
        <f>Tableau624[[#This Row],[Frais exploitatio]]*Bdd!$E$27</f>
        <v>10518.585846575344</v>
      </c>
      <c r="CG35" s="71">
        <f>Tableau624[[#This Row],[Frais exploitatio]]+Tableau624[[#This Row],[Frais généraux]]</f>
        <v>63111.51507945206</v>
      </c>
      <c r="CH35" s="107">
        <f>Tableau624[[#This Row],[Coût total ]]/Tableau624[[#This Row],[Tcol/an]]</f>
        <v>130.6115792207203</v>
      </c>
    </row>
    <row r="36" spans="1:86" ht="15" customHeight="1" x14ac:dyDescent="0.35">
      <c r="A36" s="39"/>
      <c r="B36" s="102" t="s">
        <v>109</v>
      </c>
      <c r="C36" s="103" t="s">
        <v>114</v>
      </c>
      <c r="D36" s="104" t="s">
        <v>115</v>
      </c>
      <c r="E36" s="69" t="s">
        <v>116</v>
      </c>
      <c r="F36" s="57">
        <v>7</v>
      </c>
      <c r="G36" s="60">
        <v>0.35</v>
      </c>
      <c r="H36" s="61">
        <v>2</v>
      </c>
      <c r="I36" s="45">
        <v>312</v>
      </c>
      <c r="J36" s="52">
        <f>Tableau624[[#This Row],[fréq/an]]/Bdd!$E$25</f>
        <v>0.85479452054794525</v>
      </c>
      <c r="K36" s="53">
        <f>Tableau624[[#This Row],[Nb voyage]]*Tableau624[[#This Row],[densité DMA]]*Tableau624[[#This Row],[V : m3]]</f>
        <v>4.8999999999999995</v>
      </c>
      <c r="L36" s="53">
        <v>2.2000000000000002</v>
      </c>
      <c r="M36" s="53">
        <f>Tableau624[[#This Row],[Nb voyage]]*Tableau624[[#This Row],[T col / V]]</f>
        <v>4.4000000000000004</v>
      </c>
      <c r="N36" s="62">
        <f>Tableau624[[#This Row],[Tcol/an]]/Tableau624[[#This Row],[T Max T/an]]</f>
        <v>0.89795918367346972</v>
      </c>
      <c r="O36" s="49">
        <f>Tableau624[[#This Row],[fréq/an]]*Tableau624[[#This Row],[Tmax/ séance]]</f>
        <v>1528.7999999999997</v>
      </c>
      <c r="P36" s="47">
        <f>Tableau624[[#This Row],[fréq/an]]*Tableau624[[#This Row],[T col / séance]]</f>
        <v>1372.8000000000002</v>
      </c>
      <c r="Q36" s="48">
        <v>0</v>
      </c>
      <c r="R36" s="57">
        <v>180000</v>
      </c>
      <c r="S36" s="54">
        <v>10</v>
      </c>
      <c r="T36" s="47">
        <f>(IF(Tableau624[[#This Row],[Achat / don]]&gt;0,(Tableau624[[#This Row],[taux fréq]]*Tableau624[[#This Row],[Prix Achat]])/Tableau624[[#This Row],[durée Amort]],0))</f>
        <v>0</v>
      </c>
      <c r="U36" s="55">
        <f>Tableau624[[#This Row],[taux fréq]]*Tableau624[[#This Row],[Prix Achat]]*Bdd!$E$24</f>
        <v>18463.561643835619</v>
      </c>
      <c r="V36" s="56">
        <v>15</v>
      </c>
      <c r="W36" s="47">
        <f>Tableau624[[#This Row],[fréq/an]]*Tableau624[[#This Row],[GO VC (l)]]*Bdd!$E$22</f>
        <v>8541</v>
      </c>
      <c r="X36" s="49">
        <f>Tableau624[[#This Row],[GO VC d/an]]*Bdd!$E$23</f>
        <v>854.1</v>
      </c>
      <c r="Y36" s="72">
        <v>1</v>
      </c>
      <c r="Z36" s="63">
        <v>0</v>
      </c>
      <c r="AA36" s="63">
        <v>0</v>
      </c>
      <c r="AB36" s="64">
        <f>(Tableau624[[#This Row],[Chauf P]]+Tableau624[[#This Row],[Chau OM]]+Tableau624[[#This Row],[Chau OD]])*Bdd!$E$36</f>
        <v>1.26</v>
      </c>
      <c r="AC36" s="65">
        <v>2</v>
      </c>
      <c r="AD36" s="63">
        <v>1</v>
      </c>
      <c r="AE36" s="63">
        <v>0</v>
      </c>
      <c r="AF36" s="64">
        <f>(Tableau624[[#This Row],[Ouv P]]+Tableau624[[#This Row],[Ouv OM]]+Tableau624[[#This Row],[Ouv OD]])*Bdd!$E$36</f>
        <v>3.7800000000000002</v>
      </c>
      <c r="AG36" s="65">
        <f>Tableau624[[#This Row],[taux fréq]]*((Tableau624[[#This Row],[Chauf P]]+Tableau624[[#This Row],[Ouv P]])*Bdd!$E$32+(Tableau624[[#This Row],[Chau OM]]+Tableau624[[#This Row],[Ouv OM]])*Bdd!$E$33)*(1+Bdd!$E$26)</f>
        <v>41240.416438356166</v>
      </c>
      <c r="AH36" s="65">
        <f>Tableau624[[#This Row],[Don]]+Tableau624[[#This Row],[Bud Com]]</f>
        <v>0</v>
      </c>
      <c r="AI36" s="66">
        <v>0</v>
      </c>
      <c r="AJ36" s="66">
        <v>0</v>
      </c>
      <c r="AK36" s="65">
        <f>IF(Tableau624[[#This Row],[Nb Pick-up]]&gt;0,Tableau624[[#This Row],[Nb Pick-up]]*Calcul!D22,0)</f>
        <v>0</v>
      </c>
      <c r="AL36" s="65">
        <f>IF(Tableau624[[#This Row],[Nb Pick-up]]&gt;0,10,0)</f>
        <v>0</v>
      </c>
      <c r="AM36" s="65">
        <f>IF(Tableau624[[#This Row],[Nb Pick-up]]&gt;0,(Tableau624[[#This Row],[Bud Com]]*Tableau624[[#This Row],[Prix Pup]])/Tableau624[[#This Row],[Durée Am Pup]],0)</f>
        <v>0</v>
      </c>
      <c r="AN36" s="65">
        <v>0</v>
      </c>
      <c r="AO36" s="65">
        <f>Tableau624[[#This Row],[fréq/an]]*Tableau624[[#This Row],[Nb Pick-up]]*Tableau624[[#This Row],[GO Pup]]*Bdd!$E$22</f>
        <v>0</v>
      </c>
      <c r="AP36" s="65">
        <f>Tableau624[[#This Row],[GO Pup TND/an]]*Bdd!$E$23</f>
        <v>0</v>
      </c>
      <c r="AQ36" s="66">
        <v>0</v>
      </c>
      <c r="AR36" s="66">
        <v>0</v>
      </c>
      <c r="AS36" s="65">
        <f>Tableau624[[#This Row],[taux fréq]]*((Tableau624[[#This Row],[Nb Pick-up]]+Tableau624[[#This Row],[Ouv P (PK)]])*Bdd!$E$32+Tableau624[[#This Row],[Ouv OM (PK)]]*Bdd!$E$33)*(1+Bdd!$E$26)*Bdd!$E$37</f>
        <v>0</v>
      </c>
      <c r="AT36" s="65">
        <f>Tableau624[[#This Row],[taux fréq]]*Tableau624[[#This Row],[Nb Pick-up]]*Tableau624[[#This Row],[Prix Pup]]*Bdd!$E$24</f>
        <v>0</v>
      </c>
      <c r="AU36" s="66">
        <v>0</v>
      </c>
      <c r="AV36" s="66">
        <v>0</v>
      </c>
      <c r="AW36" s="66">
        <v>0</v>
      </c>
      <c r="AX36" s="65">
        <f>IF(Tableau624[[#This Row],[Nb Tx]]&gt;0,Tableau624[[#This Row],[taux fréq]]*Tableau624[[#This Row],[Nb Tx]]*Tableau624[[#This Row],[Prix Tx]]/Tableau624[[#This Row],[Durée Am]],0)</f>
        <v>0</v>
      </c>
      <c r="AY36" s="65"/>
      <c r="AZ36" s="65">
        <f>Tableau624[[#This Row],[fréq/an]]*Tableau624[[#This Row],[Nb Tx]]*Tableau624[[#This Row],[GO Tx l/séance]]*Bdd!$E$22</f>
        <v>0</v>
      </c>
      <c r="BA36" s="65">
        <f>Tableau624[[#This Row],[GO TND/an]]*Bdd!$E$23</f>
        <v>0</v>
      </c>
      <c r="BB36" s="65">
        <f>Tableau624[[#This Row],[taux fréq]]*Tableau624[[#This Row],[Nb Tx]]*Tableau624[[#This Row],[Prix Tx]]*Bdd!$E$24</f>
        <v>0</v>
      </c>
      <c r="BC36" s="65">
        <f>Tableau624[[#This Row],[taux fréq]]*Tableau624[[#This Row],[Nb Tx]]*Bdd!$E$32*Bdd!$E$36*(1+Bdd!$E$26)</f>
        <v>0</v>
      </c>
      <c r="BD36" s="65">
        <v>0</v>
      </c>
      <c r="BE36" s="65">
        <f>(Tableau624[[#This Row],[Nb C770]]*Bdd!$D$5)</f>
        <v>0</v>
      </c>
      <c r="BF36" s="65">
        <v>0</v>
      </c>
      <c r="BG36" s="66">
        <f>(Tableau624[[#This Row],[Nb C240]]*Bdd!$D$6)</f>
        <v>0</v>
      </c>
      <c r="BH36" s="65">
        <v>0</v>
      </c>
      <c r="BI36" s="65">
        <f>(Tableau624[[#This Row],[Nb Brouettes]]*Bdd!$D$7)</f>
        <v>0</v>
      </c>
      <c r="BJ36" s="66">
        <f>(Tableau624[[#This Row],[C770 TND/an]]+Tableau624[[#This Row],[Brouettes TND/an]]+Tableau624[[#This Row],[C240 TND/an3]])/Bdd!$E$5</f>
        <v>0</v>
      </c>
      <c r="BK36" s="47">
        <f>(Tableau624[[#This Row],[C770 TND/an]]+Tableau624[[#This Row],[C240 TND/an3]]+Tableau624[[#This Row],[Brouettes TND/an]])*Bdd!$E$24</f>
        <v>0</v>
      </c>
      <c r="BL36" s="47">
        <v>0</v>
      </c>
      <c r="BM36" s="66">
        <v>0</v>
      </c>
      <c r="BN36" s="66">
        <v>0</v>
      </c>
      <c r="BO36" s="70">
        <f>Tableau624[[#This Row],[Nb Ouv P]]+Tableau624[[#This Row],[Nb OM]]+Tableau624[[#This Row],[Nb OD]]</f>
        <v>0</v>
      </c>
      <c r="BP36" s="47">
        <f>Tableau624[[#This Row],[taux fréq]]*(Tableau624[[#This Row],[Nb Ouv P]]*Bdd!$E$32+Tableau624[[#This Row],[Nb OM]]*Bdd!$E$33)*(1+Bdd!$E$26)</f>
        <v>0</v>
      </c>
      <c r="BQ36" s="61">
        <f>Tableau624[[#This Row],[chauf maj]]+Tableau624[[#This Row],[Nb Pick-up]]+Tableau624[[#This Row],[Nb Tx]]</f>
        <v>1.26</v>
      </c>
      <c r="BR36" s="47">
        <f>Tableau624[[#This Row],[Ebou maj]]+Tableau624[[#This Row],[Nb Pick-up]]+Tableau624[[#This Row],[Nb Tx]]+Tableau624[[#This Row],[Nb Ouv P]]+Tableau624[[#This Row],[Nb OM]]+Tableau624[[#This Row],[Nb OD]]</f>
        <v>3.7800000000000002</v>
      </c>
      <c r="BS36" s="47">
        <f>Tableau624[[#This Row],[Total 1 chaffeurs]]*Bdd!$E$39</f>
        <v>504</v>
      </c>
      <c r="BT36" s="47">
        <f>Tableau624[[#This Row],[Total 2 ouvriers]]*Bdd!$E$40</f>
        <v>1285.2</v>
      </c>
      <c r="BU36" s="47">
        <f>Tableau624[[#This Row],[Total 1 chaffeurs]]+Tableau624[[#This Row],[Total 2 ouvriers]]</f>
        <v>5.04</v>
      </c>
      <c r="BV36" s="65">
        <f>Tableau624[[#This Row],[Am C+b]]+Tableau624[[#This Row],[Amo Pup]]+Tableau624[[#This Row],[Amo VC]]+Tableau624[[#This Row],[Am Tx TND/an]]</f>
        <v>0</v>
      </c>
      <c r="BW36" s="65">
        <f>Tableau624[[#This Row],[salaires VCTND/an]]+Tableau624[[#This Row],[Salaire Pup TND/an]]+Tableau624[[#This Row],[salaire pré-col TND/an]]+Tableau624[[#This Row],[Salaire TND/an]]</f>
        <v>41240.416438356166</v>
      </c>
      <c r="BX36" s="66">
        <f>Tableau624[[#This Row],[Tenues chauf TND]]+Tableau624[[#This Row],[Tenues ouv TND]]</f>
        <v>1789.2</v>
      </c>
      <c r="BY36" s="66">
        <f>Tableau624[[#This Row],[Total 1+2]]*Bdd!$E$41*(Bdd!$E$25-Bdd!$E$35)</f>
        <v>1714.6080000000002</v>
      </c>
      <c r="BZ36" s="66">
        <f>Tableau624[[#This Row],[GO VC d/an]]+Tableau624[[#This Row],[Lub VC d/an]]+Tableau624[[#This Row],[GO Pup TND/an]]+Tableau624[[#This Row],[Lub Pup TND/an]]+Tableau624[[#This Row],[GO TND/an]]+Tableau624[[#This Row],[Lub Tx TND/an]]</f>
        <v>9395.1</v>
      </c>
      <c r="CA36" s="66">
        <f>Tableau624[[#This Row],[Rép Cont]]+Tableau624[[#This Row],[Rép Pup TND/an]]+Tableau624[[#This Row],[Rép VC]]+Tableau624[[#This Row],[Répar Tx TND/an]]</f>
        <v>18463.561643835619</v>
      </c>
      <c r="CB36" s="66">
        <v>0</v>
      </c>
      <c r="CC36" s="66">
        <v>0</v>
      </c>
      <c r="CD36" s="66">
        <f>Tableau624[[#This Row],[Tcol/an]]*Bdd!$E$42</f>
        <v>0</v>
      </c>
      <c r="CE36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72602.886082191777</v>
      </c>
      <c r="CF36" s="66">
        <f>Tableau624[[#This Row],[Frais exploitatio]]*Bdd!$E$27</f>
        <v>14520.577216438356</v>
      </c>
      <c r="CG36" s="71">
        <f>Tableau624[[#This Row],[Frais exploitatio]]+Tableau624[[#This Row],[Frais généraux]]</f>
        <v>87123.463298630129</v>
      </c>
      <c r="CH36" s="107">
        <f>Tableau624[[#This Row],[Coût total ]]/Tableau624[[#This Row],[Tcol/an]]</f>
        <v>63.464061260657139</v>
      </c>
    </row>
    <row r="37" spans="1:86" ht="15" customHeight="1" x14ac:dyDescent="0.35">
      <c r="A37" s="39"/>
      <c r="B37" s="102" t="s">
        <v>117</v>
      </c>
      <c r="C37" s="103" t="s">
        <v>118</v>
      </c>
      <c r="D37" s="101" t="s">
        <v>119</v>
      </c>
      <c r="E37" s="69" t="s">
        <v>106</v>
      </c>
      <c r="F37" s="57">
        <v>10</v>
      </c>
      <c r="G37" s="60">
        <v>0.2</v>
      </c>
      <c r="H37" s="61">
        <v>1</v>
      </c>
      <c r="I37" s="45">
        <v>302</v>
      </c>
      <c r="J37" s="52">
        <f>Tableau624[[#This Row],[fréq/an]]/Bdd!$E$25</f>
        <v>0.82739726027397265</v>
      </c>
      <c r="K37" s="53">
        <f>Tableau624[[#This Row],[Nb voyage]]*Tableau624[[#This Row],[densité DMA]]*Tableau624[[#This Row],[V : m3]]</f>
        <v>2</v>
      </c>
      <c r="L37" s="53">
        <v>1.5</v>
      </c>
      <c r="M37" s="53">
        <f>Tableau624[[#This Row],[Nb voyage]]*Tableau624[[#This Row],[T col / V]]</f>
        <v>1.5</v>
      </c>
      <c r="N37" s="62">
        <f>Tableau624[[#This Row],[Tcol/an]]/Tableau624[[#This Row],[T Max T/an]]</f>
        <v>0.75</v>
      </c>
      <c r="O37" s="49">
        <f>Tableau624[[#This Row],[fréq/an]]*Tableau624[[#This Row],[Tmax/ séance]]</f>
        <v>604</v>
      </c>
      <c r="P37" s="47">
        <f>Tableau624[[#This Row],[fréq/an]]*Tableau624[[#This Row],[T col / séance]]</f>
        <v>453</v>
      </c>
      <c r="Q37" s="48">
        <v>1</v>
      </c>
      <c r="R37" s="57">
        <v>75000</v>
      </c>
      <c r="S37" s="54">
        <v>10</v>
      </c>
      <c r="T37" s="47">
        <f>(IF(Tableau624[[#This Row],[Achat / don]]&gt;0,(Tableau624[[#This Row],[taux fréq]]*Tableau624[[#This Row],[Prix Achat]])/Tableau624[[#This Row],[durée Amort]],0))</f>
        <v>6205.4794520547948</v>
      </c>
      <c r="U37" s="55">
        <f>Tableau624[[#This Row],[taux fréq]]*Tableau624[[#This Row],[Prix Achat]]*Bdd!$E$24</f>
        <v>7446.5753424657532</v>
      </c>
      <c r="V37" s="56">
        <v>10</v>
      </c>
      <c r="W37" s="47">
        <f>Tableau624[[#This Row],[fréq/an]]*Tableau624[[#This Row],[GO VC (l)]]*Bdd!$E$22</f>
        <v>5511.5</v>
      </c>
      <c r="X37" s="49">
        <f>Tableau624[[#This Row],[GO VC d/an]]*Bdd!$E$23</f>
        <v>551.15</v>
      </c>
      <c r="Y37" s="72">
        <v>1</v>
      </c>
      <c r="Z37" s="63">
        <v>0</v>
      </c>
      <c r="AA37" s="63">
        <v>0</v>
      </c>
      <c r="AB37" s="64">
        <f>(Tableau624[[#This Row],[Chauf P]]+Tableau624[[#This Row],[Chau OM]]+Tableau624[[#This Row],[Chau OD]])*Bdd!$E$36</f>
        <v>1.26</v>
      </c>
      <c r="AC37" s="65">
        <v>0</v>
      </c>
      <c r="AD37" s="63">
        <v>2</v>
      </c>
      <c r="AE37" s="63">
        <v>1</v>
      </c>
      <c r="AF37" s="64">
        <f>(Tableau624[[#This Row],[Ouv P]]+Tableau624[[#This Row],[Ouv OM]]+Tableau624[[#This Row],[Ouv OD]])*Bdd!$E$36</f>
        <v>3.7800000000000002</v>
      </c>
      <c r="AG37" s="65">
        <f>Tableau624[[#This Row],[taux fréq]]*((Tableau624[[#This Row],[Chauf P]]+Tableau624[[#This Row],[Ouv P]])*Bdd!$E$32+(Tableau624[[#This Row],[Chau OM]]+Tableau624[[#This Row],[Ouv OM]])*Bdd!$E$33)*(1+Bdd!$E$26)</f>
        <v>22498.586301369865</v>
      </c>
      <c r="AH37" s="65">
        <f>Tableau624[[#This Row],[Don]]+Tableau624[[#This Row],[Bud Com]]</f>
        <v>0</v>
      </c>
      <c r="AI37" s="66">
        <v>0</v>
      </c>
      <c r="AJ37" s="66">
        <v>0</v>
      </c>
      <c r="AK37" s="65">
        <f>IF(Tableau624[[#This Row],[Nb Pick-up]]&gt;0,Tableau624[[#This Row],[Nb Pick-up]]*Calcul!D23,0)</f>
        <v>0</v>
      </c>
      <c r="AL37" s="65">
        <f>IF(Tableau624[[#This Row],[Nb Pick-up]]&gt;0,10,0)</f>
        <v>0</v>
      </c>
      <c r="AM37" s="65">
        <f>IF(Tableau624[[#This Row],[Nb Pick-up]]&gt;0,(Tableau624[[#This Row],[Bud Com]]*Tableau624[[#This Row],[Prix Pup]])/Tableau624[[#This Row],[Durée Am Pup]],0)</f>
        <v>0</v>
      </c>
      <c r="AN37" s="65">
        <v>0</v>
      </c>
      <c r="AO37" s="65">
        <f>Tableau624[[#This Row],[fréq/an]]*Tableau624[[#This Row],[Nb Pick-up]]*Tableau624[[#This Row],[GO Pup]]*Bdd!$E$22</f>
        <v>0</v>
      </c>
      <c r="AP37" s="65">
        <f>Tableau624[[#This Row],[GO Pup TND/an]]*Bdd!$E$23</f>
        <v>0</v>
      </c>
      <c r="AQ37" s="66">
        <v>0</v>
      </c>
      <c r="AR37" s="66">
        <v>0</v>
      </c>
      <c r="AS37" s="65">
        <f>Tableau624[[#This Row],[taux fréq]]*((Tableau624[[#This Row],[Nb Pick-up]]+Tableau624[[#This Row],[Ouv P (PK)]])*Bdd!$E$32+Tableau624[[#This Row],[Ouv OM (PK)]]*Bdd!$E$33)*(1+Bdd!$E$26)*Bdd!$E$37</f>
        <v>0</v>
      </c>
      <c r="AT37" s="65">
        <f>Tableau624[[#This Row],[taux fréq]]*Tableau624[[#This Row],[Nb Pick-up]]*Tableau624[[#This Row],[Prix Pup]]*Bdd!$E$24</f>
        <v>0</v>
      </c>
      <c r="AU37" s="66">
        <v>0</v>
      </c>
      <c r="AV37" s="66">
        <v>0</v>
      </c>
      <c r="AW37" s="66">
        <v>0</v>
      </c>
      <c r="AX37" s="65">
        <f>IF(Tableau624[[#This Row],[Nb Tx]]&gt;0,Tableau624[[#This Row],[taux fréq]]*Tableau624[[#This Row],[Nb Tx]]*Tableau624[[#This Row],[Prix Tx]]/Tableau624[[#This Row],[Durée Am]],0)</f>
        <v>0</v>
      </c>
      <c r="AY37" s="65"/>
      <c r="AZ37" s="65">
        <f>Tableau624[[#This Row],[fréq/an]]*Tableau624[[#This Row],[Nb Tx]]*Tableau624[[#This Row],[GO Tx l/séance]]*Bdd!$E$22</f>
        <v>0</v>
      </c>
      <c r="BA37" s="65">
        <f>Tableau624[[#This Row],[GO TND/an]]*Bdd!$E$23</f>
        <v>0</v>
      </c>
      <c r="BB37" s="65">
        <f>Tableau624[[#This Row],[taux fréq]]*Tableau624[[#This Row],[Nb Tx]]*Tableau624[[#This Row],[Prix Tx]]*Bdd!$E$24</f>
        <v>0</v>
      </c>
      <c r="BC37" s="65">
        <f>Tableau624[[#This Row],[taux fréq]]*Tableau624[[#This Row],[Nb Tx]]*Bdd!$E$32*Bdd!$E$36*(1+Bdd!$E$26)</f>
        <v>0</v>
      </c>
      <c r="BD37" s="65">
        <v>0</v>
      </c>
      <c r="BE37" s="65">
        <f>(Tableau624[[#This Row],[Nb C770]]*Bdd!$D$5)</f>
        <v>0</v>
      </c>
      <c r="BF37" s="65">
        <v>0</v>
      </c>
      <c r="BG37" s="66">
        <f>(Tableau624[[#This Row],[Nb C240]]*Bdd!$D$6)</f>
        <v>0</v>
      </c>
      <c r="BH37" s="65">
        <v>0</v>
      </c>
      <c r="BI37" s="65">
        <f>(Tableau624[[#This Row],[Nb Brouettes]]*Bdd!$D$7)</f>
        <v>0</v>
      </c>
      <c r="BJ37" s="66">
        <f>(Tableau624[[#This Row],[C770 TND/an]]+Tableau624[[#This Row],[Brouettes TND/an]]+Tableau624[[#This Row],[C240 TND/an3]])/Bdd!$E$5</f>
        <v>0</v>
      </c>
      <c r="BK37" s="47">
        <f>(Tableau624[[#This Row],[C770 TND/an]]+Tableau624[[#This Row],[C240 TND/an3]]+Tableau624[[#This Row],[Brouettes TND/an]])*Bdd!$E$24</f>
        <v>0</v>
      </c>
      <c r="BL37" s="47">
        <v>0</v>
      </c>
      <c r="BM37" s="66">
        <v>2</v>
      </c>
      <c r="BN37" s="66">
        <v>0</v>
      </c>
      <c r="BO37" s="70">
        <f>Tableau624[[#This Row],[Nb Ouv P]]+Tableau624[[#This Row],[Nb OM]]+Tableau624[[#This Row],[Nb OD]]</f>
        <v>2</v>
      </c>
      <c r="BP37" s="47">
        <f>Tableau624[[#This Row],[taux fréq]]*(Tableau624[[#This Row],[Nb Ouv P]]*Bdd!$E$32+Tableau624[[#This Row],[Nb OM]]*Bdd!$E$33)*(1+Bdd!$E$26)</f>
        <v>11030.860273972605</v>
      </c>
      <c r="BQ37" s="61">
        <f>Tableau624[[#This Row],[chauf maj]]+Tableau624[[#This Row],[Nb Pick-up]]+Tableau624[[#This Row],[Nb Tx]]</f>
        <v>1.26</v>
      </c>
      <c r="BR37" s="70">
        <f>Tableau624[[#This Row],[Ebou maj]]+Tableau624[[#This Row],[Nb Pick-up]]+Tableau624[[#This Row],[Nb Tx]]+Tableau624[[#This Row],[Nb Ouv P]]+Tableau624[[#This Row],[Nb OM]]+Tableau624[[#This Row],[Nb OD]]</f>
        <v>5.78</v>
      </c>
      <c r="BS37" s="47">
        <f>Tableau624[[#This Row],[Total 1 chaffeurs]]*Bdd!$E$39</f>
        <v>504</v>
      </c>
      <c r="BT37" s="47">
        <f>Tableau624[[#This Row],[Total 2 ouvriers]]*Bdd!$E$40</f>
        <v>1965.2</v>
      </c>
      <c r="BU37" s="47">
        <f>Tableau624[[#This Row],[Total 1 chaffeurs]]+Tableau624[[#This Row],[Total 2 ouvriers]]</f>
        <v>7.04</v>
      </c>
      <c r="BV37" s="65">
        <f>Tableau624[[#This Row],[Am C+b]]+Tableau624[[#This Row],[Amo Pup]]+Tableau624[[#This Row],[Amo VC]]+Tableau624[[#This Row],[Am Tx TND/an]]</f>
        <v>6205.4794520547948</v>
      </c>
      <c r="BW37" s="65">
        <f>Tableau624[[#This Row],[salaires VCTND/an]]+Tableau624[[#This Row],[Salaire Pup TND/an]]+Tableau624[[#This Row],[salaire pré-col TND/an]]+Tableau624[[#This Row],[Salaire TND/an]]</f>
        <v>33529.446575342474</v>
      </c>
      <c r="BX37" s="66">
        <f>Tableau624[[#This Row],[Tenues chauf TND]]+Tableau624[[#This Row],[Tenues ouv TND]]</f>
        <v>2469.1999999999998</v>
      </c>
      <c r="BY37" s="66">
        <f>Tableau624[[#This Row],[Total 1+2]]*Bdd!$E$41*(Bdd!$E$25-Bdd!$E$35)</f>
        <v>2395.0079999999998</v>
      </c>
      <c r="BZ37" s="66">
        <f>Tableau624[[#This Row],[GO VC d/an]]+Tableau624[[#This Row],[Lub VC d/an]]+Tableau624[[#This Row],[GO Pup TND/an]]+Tableau624[[#This Row],[Lub Pup TND/an]]+Tableau624[[#This Row],[GO TND/an]]+Tableau624[[#This Row],[Lub Tx TND/an]]</f>
        <v>6062.65</v>
      </c>
      <c r="CA37" s="66">
        <f>Tableau624[[#This Row],[Rép Cont]]+Tableau624[[#This Row],[Rép Pup TND/an]]+Tableau624[[#This Row],[Rép VC]]+Tableau624[[#This Row],[Répar Tx TND/an]]</f>
        <v>7446.5753424657532</v>
      </c>
      <c r="CB37" s="66">
        <v>0</v>
      </c>
      <c r="CC37" s="66">
        <v>0</v>
      </c>
      <c r="CD37" s="66">
        <f>Tableau624[[#This Row],[Tcol/an]]*Bdd!$E$42</f>
        <v>0</v>
      </c>
      <c r="CE37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58108.359369863021</v>
      </c>
      <c r="CF37" s="66">
        <f>Tableau624[[#This Row],[Frais exploitatio]]*Bdd!$E$27</f>
        <v>11621.671873972606</v>
      </c>
      <c r="CG37" s="71">
        <f>Tableau624[[#This Row],[Frais exploitatio]]+Tableau624[[#This Row],[Frais généraux]]</f>
        <v>69730.031243835634</v>
      </c>
      <c r="CH37" s="107">
        <f>Tableau624[[#This Row],[Coût total ]]/Tableau624[[#This Row],[Tcol/an]]</f>
        <v>153.92942879433915</v>
      </c>
    </row>
    <row r="38" spans="1:86" ht="15" customHeight="1" x14ac:dyDescent="0.35">
      <c r="A38" s="39"/>
      <c r="B38" s="102" t="s">
        <v>117</v>
      </c>
      <c r="C38" s="103" t="s">
        <v>120</v>
      </c>
      <c r="D38" s="104" t="s">
        <v>121</v>
      </c>
      <c r="E38" s="69" t="s">
        <v>116</v>
      </c>
      <c r="F38" s="57">
        <v>7</v>
      </c>
      <c r="G38" s="60">
        <v>0.35</v>
      </c>
      <c r="H38" s="61">
        <v>1</v>
      </c>
      <c r="I38" s="45">
        <v>365</v>
      </c>
      <c r="J38" s="52">
        <f>Tableau624[[#This Row],[fréq/an]]/Bdd!$E$25</f>
        <v>1</v>
      </c>
      <c r="K38" s="53">
        <f>Tableau624[[#This Row],[Nb voyage]]*Tableau624[[#This Row],[densité DMA]]*Tableau624[[#This Row],[V : m3]]</f>
        <v>2.4499999999999997</v>
      </c>
      <c r="L38" s="53">
        <v>2.0499999999999998</v>
      </c>
      <c r="M38" s="53">
        <f>Tableau624[[#This Row],[Nb voyage]]*Tableau624[[#This Row],[T col / V]]</f>
        <v>2.0499999999999998</v>
      </c>
      <c r="N38" s="62">
        <f>Tableau624[[#This Row],[Tcol/an]]/Tableau624[[#This Row],[T Max T/an]]</f>
        <v>0.83673469387755095</v>
      </c>
      <c r="O38" s="49">
        <f>Tableau624[[#This Row],[fréq/an]]*Tableau624[[#This Row],[Tmax/ séance]]</f>
        <v>894.24999999999989</v>
      </c>
      <c r="P38" s="47">
        <f>Tableau624[[#This Row],[fréq/an]]*Tableau624[[#This Row],[T col / séance]]</f>
        <v>748.24999999999989</v>
      </c>
      <c r="Q38" s="58">
        <v>1</v>
      </c>
      <c r="R38" s="57">
        <v>180000</v>
      </c>
      <c r="S38" s="54">
        <v>10</v>
      </c>
      <c r="T38" s="47">
        <f>(IF(Tableau624[[#This Row],[Achat / don]]&gt;0,(Tableau624[[#This Row],[taux fréq]]*Tableau624[[#This Row],[Prix Achat]])/Tableau624[[#This Row],[durée Amort]],0))</f>
        <v>18000</v>
      </c>
      <c r="U38" s="55">
        <f>Tableau624[[#This Row],[taux fréq]]*Tableau624[[#This Row],[Prix Achat]]*Bdd!$E$24</f>
        <v>21600</v>
      </c>
      <c r="V38" s="56">
        <v>15</v>
      </c>
      <c r="W38" s="47">
        <f>Tableau624[[#This Row],[fréq/an]]*Tableau624[[#This Row],[GO VC (l)]]*Bdd!$E$22</f>
        <v>9991.875</v>
      </c>
      <c r="X38" s="49">
        <f>Tableau624[[#This Row],[GO VC d/an]]*Bdd!$E$23</f>
        <v>999.1875</v>
      </c>
      <c r="Y38" s="72">
        <v>1</v>
      </c>
      <c r="Z38" s="63">
        <v>0</v>
      </c>
      <c r="AA38" s="63">
        <v>0</v>
      </c>
      <c r="AB38" s="64">
        <f>(Tableau624[[#This Row],[Chauf P]]+Tableau624[[#This Row],[Chau OM]]+Tableau624[[#This Row],[Chau OD]])*Bdd!$E$36</f>
        <v>1.26</v>
      </c>
      <c r="AC38" s="65">
        <v>2</v>
      </c>
      <c r="AD38" s="63">
        <v>0</v>
      </c>
      <c r="AE38" s="63">
        <v>0</v>
      </c>
      <c r="AF38" s="64">
        <f>(Tableau624[[#This Row],[Ouv P]]+Tableau624[[#This Row],[Ouv OM]]+Tableau624[[#This Row],[Ouv OD]])*Bdd!$E$36</f>
        <v>2.52</v>
      </c>
      <c r="AG38" s="65">
        <f>Tableau624[[#This Row],[taux fréq]]*((Tableau624[[#This Row],[Chauf P]]+Tableau624[[#This Row],[Ouv P]])*Bdd!$E$32+(Tableau624[[#This Row],[Chau OM]]+Tableau624[[#This Row],[Ouv OM]])*Bdd!$E$33)*(1+Bdd!$E$26)</f>
        <v>41580</v>
      </c>
      <c r="AH38" s="65">
        <f>Tableau624[[#This Row],[Don]]+Tableau624[[#This Row],[Bud Com]]</f>
        <v>0</v>
      </c>
      <c r="AI38" s="66">
        <v>0</v>
      </c>
      <c r="AJ38" s="66">
        <v>0</v>
      </c>
      <c r="AK38" s="65">
        <f>IF(Tableau624[[#This Row],[Nb Pick-up]]&gt;0,Tableau624[[#This Row],[Nb Pick-up]]*Calcul!D24,0)</f>
        <v>0</v>
      </c>
      <c r="AL38" s="65">
        <f>IF(Tableau624[[#This Row],[Nb Pick-up]]&gt;0,10,0)</f>
        <v>0</v>
      </c>
      <c r="AM38" s="65">
        <f>IF(Tableau624[[#This Row],[Nb Pick-up]]&gt;0,(Tableau624[[#This Row],[Bud Com]]*Tableau624[[#This Row],[Prix Pup]])/Tableau624[[#This Row],[Durée Am Pup]],0)</f>
        <v>0</v>
      </c>
      <c r="AN38" s="65">
        <v>0</v>
      </c>
      <c r="AO38" s="65">
        <f>Tableau624[[#This Row],[fréq/an]]*Tableau624[[#This Row],[Nb Pick-up]]*Tableau624[[#This Row],[GO Pup]]*Bdd!$E$22</f>
        <v>0</v>
      </c>
      <c r="AP38" s="65">
        <f>Tableau624[[#This Row],[GO Pup TND/an]]*Bdd!$E$23</f>
        <v>0</v>
      </c>
      <c r="AQ38" s="66">
        <v>0</v>
      </c>
      <c r="AR38" s="66">
        <v>0</v>
      </c>
      <c r="AS38" s="65">
        <f>Tableau624[[#This Row],[taux fréq]]*((Tableau624[[#This Row],[Nb Pick-up]]+Tableau624[[#This Row],[Ouv P (PK)]])*Bdd!$E$32+Tableau624[[#This Row],[Ouv OM (PK)]]*Bdd!$E$33)*(1+Bdd!$E$26)*Bdd!$E$37</f>
        <v>0</v>
      </c>
      <c r="AT38" s="65">
        <f>Tableau624[[#This Row],[taux fréq]]*Tableau624[[#This Row],[Nb Pick-up]]*Tableau624[[#This Row],[Prix Pup]]*Bdd!$E$24</f>
        <v>0</v>
      </c>
      <c r="AU38" s="66">
        <v>0</v>
      </c>
      <c r="AV38" s="66">
        <v>0</v>
      </c>
      <c r="AW38" s="66">
        <v>0</v>
      </c>
      <c r="AX38" s="65">
        <f>IF(Tableau624[[#This Row],[Nb Tx]]&gt;0,Tableau624[[#This Row],[taux fréq]]*Tableau624[[#This Row],[Nb Tx]]*Tableau624[[#This Row],[Prix Tx]]/Tableau624[[#This Row],[Durée Am]],0)</f>
        <v>0</v>
      </c>
      <c r="AY38" s="65"/>
      <c r="AZ38" s="65">
        <f>Tableau624[[#This Row],[fréq/an]]*Tableau624[[#This Row],[Nb Tx]]*Tableau624[[#This Row],[GO Tx l/séance]]*Bdd!$E$22</f>
        <v>0</v>
      </c>
      <c r="BA38" s="65">
        <f>Tableau624[[#This Row],[GO TND/an]]*Bdd!$E$23</f>
        <v>0</v>
      </c>
      <c r="BB38" s="65">
        <f>Tableau624[[#This Row],[taux fréq]]*Tableau624[[#This Row],[Nb Tx]]*Tableau624[[#This Row],[Prix Tx]]*Bdd!$E$24</f>
        <v>0</v>
      </c>
      <c r="BC38" s="65">
        <f>Tableau624[[#This Row],[taux fréq]]*Tableau624[[#This Row],[Nb Tx]]*Bdd!$E$32*Bdd!$E$36*(1+Bdd!$E$26)</f>
        <v>0</v>
      </c>
      <c r="BD38" s="65">
        <v>0</v>
      </c>
      <c r="BE38" s="65">
        <f>(Tableau624[[#This Row],[Nb C770]]*Bdd!$D$5)</f>
        <v>0</v>
      </c>
      <c r="BF38" s="65">
        <v>0</v>
      </c>
      <c r="BG38" s="66">
        <f>(Tableau624[[#This Row],[Nb C240]]*Bdd!$D$6)</f>
        <v>0</v>
      </c>
      <c r="BH38" s="65">
        <v>0</v>
      </c>
      <c r="BI38" s="65">
        <f>(Tableau624[[#This Row],[Nb Brouettes]]*Bdd!$D$7)</f>
        <v>0</v>
      </c>
      <c r="BJ38" s="66">
        <f>(Tableau624[[#This Row],[C770 TND/an]]+Tableau624[[#This Row],[Brouettes TND/an]]+Tableau624[[#This Row],[C240 TND/an3]])/Bdd!$E$5</f>
        <v>0</v>
      </c>
      <c r="BK38" s="47">
        <f>(Tableau624[[#This Row],[C770 TND/an]]+Tableau624[[#This Row],[C240 TND/an3]]+Tableau624[[#This Row],[Brouettes TND/an]])*Bdd!$E$24</f>
        <v>0</v>
      </c>
      <c r="BL38" s="47">
        <v>0</v>
      </c>
      <c r="BM38" s="66">
        <v>0</v>
      </c>
      <c r="BN38" s="66">
        <v>2</v>
      </c>
      <c r="BO38" s="70">
        <f>Tableau624[[#This Row],[Nb Ouv P]]+Tableau624[[#This Row],[Nb OM]]+Tableau624[[#This Row],[Nb OD]]</f>
        <v>2</v>
      </c>
      <c r="BP38" s="47">
        <f>Tableau624[[#This Row],[taux fréq]]*(Tableau624[[#This Row],[Nb Ouv P]]*Bdd!$E$32+Tableau624[[#This Row],[Nb OM]]*Bdd!$E$33)*(1+Bdd!$E$26)</f>
        <v>0</v>
      </c>
      <c r="BQ38" s="61">
        <f>Tableau624[[#This Row],[chauf maj]]+Tableau624[[#This Row],[Nb Pick-up]]+Tableau624[[#This Row],[Nb Tx]]</f>
        <v>1.26</v>
      </c>
      <c r="BR38" s="70">
        <f>Tableau624[[#This Row],[Ebou maj]]+Tableau624[[#This Row],[Nb Pick-up]]+Tableau624[[#This Row],[Nb Tx]]+Tableau624[[#This Row],[Nb Ouv P]]+Tableau624[[#This Row],[Nb OM]]+Tableau624[[#This Row],[Nb OD]]</f>
        <v>4.5199999999999996</v>
      </c>
      <c r="BS38" s="47">
        <f>Tableau624[[#This Row],[Total 1 chaffeurs]]*Bdd!$E$39</f>
        <v>504</v>
      </c>
      <c r="BT38" s="47">
        <f>Tableau624[[#This Row],[Total 2 ouvriers]]*Bdd!$E$40</f>
        <v>1536.8</v>
      </c>
      <c r="BU38" s="47">
        <f>Tableau624[[#This Row],[Total 1 chaffeurs]]+Tableau624[[#This Row],[Total 2 ouvriers]]</f>
        <v>5.7799999999999994</v>
      </c>
      <c r="BV38" s="65">
        <f>Tableau624[[#This Row],[Am C+b]]+Tableau624[[#This Row],[Amo Pup]]+Tableau624[[#This Row],[Amo VC]]+Tableau624[[#This Row],[Am Tx TND/an]]</f>
        <v>18000</v>
      </c>
      <c r="BW38" s="65">
        <f>Tableau624[[#This Row],[salaires VCTND/an]]+Tableau624[[#This Row],[Salaire Pup TND/an]]+Tableau624[[#This Row],[salaire pré-col TND/an]]+Tableau624[[#This Row],[Salaire TND/an]]</f>
        <v>41580</v>
      </c>
      <c r="BX38" s="66">
        <f>Tableau624[[#This Row],[Tenues chauf TND]]+Tableau624[[#This Row],[Tenues ouv TND]]</f>
        <v>2040.8</v>
      </c>
      <c r="BY38" s="66">
        <f>Tableau624[[#This Row],[Total 1+2]]*Bdd!$E$41*(Bdd!$E$25-Bdd!$E$35)</f>
        <v>1966.3559999999998</v>
      </c>
      <c r="BZ38" s="66">
        <f>Tableau624[[#This Row],[GO VC d/an]]+Tableau624[[#This Row],[Lub VC d/an]]+Tableau624[[#This Row],[GO Pup TND/an]]+Tableau624[[#This Row],[Lub Pup TND/an]]+Tableau624[[#This Row],[GO TND/an]]+Tableau624[[#This Row],[Lub Tx TND/an]]</f>
        <v>10991.0625</v>
      </c>
      <c r="CA38" s="66">
        <f>Tableau624[[#This Row],[Rép Cont]]+Tableau624[[#This Row],[Rép Pup TND/an]]+Tableau624[[#This Row],[Rép VC]]+Tableau624[[#This Row],[Répar Tx TND/an]]</f>
        <v>21600</v>
      </c>
      <c r="CB38" s="66">
        <v>0</v>
      </c>
      <c r="CC38" s="66">
        <v>0</v>
      </c>
      <c r="CD38" s="66">
        <f>Tableau624[[#This Row],[Tcol/an]]*Bdd!$E$42</f>
        <v>0</v>
      </c>
      <c r="CE38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96178.218500000003</v>
      </c>
      <c r="CF38" s="66">
        <f>Tableau624[[#This Row],[Frais exploitatio]]*Bdd!$E$27</f>
        <v>19235.643700000001</v>
      </c>
      <c r="CG38" s="71">
        <f>Tableau624[[#This Row],[Frais exploitatio]]+Tableau624[[#This Row],[Frais généraux]]</f>
        <v>115413.8622</v>
      </c>
      <c r="CH38" s="107">
        <f>Tableau624[[#This Row],[Coût total ]]/Tableau624[[#This Row],[Tcol/an]]</f>
        <v>154.24505472769798</v>
      </c>
    </row>
    <row r="39" spans="1:86" ht="15" customHeight="1" x14ac:dyDescent="0.35">
      <c r="A39" s="39"/>
      <c r="B39" s="102" t="s">
        <v>117</v>
      </c>
      <c r="C39" s="103" t="s">
        <v>122</v>
      </c>
      <c r="D39" s="101" t="s">
        <v>123</v>
      </c>
      <c r="E39" s="69" t="s">
        <v>103</v>
      </c>
      <c r="F39" s="57">
        <v>8</v>
      </c>
      <c r="G39" s="60">
        <v>0.2</v>
      </c>
      <c r="H39" s="61">
        <v>1</v>
      </c>
      <c r="I39" s="45">
        <v>302</v>
      </c>
      <c r="J39" s="52">
        <f>Tableau624[[#This Row],[fréq/an]]/Bdd!$E$25</f>
        <v>0.82739726027397265</v>
      </c>
      <c r="K39" s="53">
        <f>Tableau624[[#This Row],[Nb voyage]]*Tableau624[[#This Row],[densité DMA]]*Tableau624[[#This Row],[V : m3]]</f>
        <v>1.6</v>
      </c>
      <c r="L39" s="53">
        <v>1.4</v>
      </c>
      <c r="M39" s="53">
        <f>Tableau624[[#This Row],[Nb voyage]]*Tableau624[[#This Row],[T col / V]]</f>
        <v>1.4</v>
      </c>
      <c r="N39" s="62">
        <f>Tableau624[[#This Row],[Tcol/an]]/Tableau624[[#This Row],[T Max T/an]]</f>
        <v>0.87499999999999978</v>
      </c>
      <c r="O39" s="49">
        <f>Tableau624[[#This Row],[fréq/an]]*Tableau624[[#This Row],[Tmax/ séance]]</f>
        <v>483.20000000000005</v>
      </c>
      <c r="P39" s="47">
        <f>Tableau624[[#This Row],[fréq/an]]*Tableau624[[#This Row],[T col / séance]]</f>
        <v>422.79999999999995</v>
      </c>
      <c r="Q39" s="58">
        <v>1</v>
      </c>
      <c r="R39" s="57">
        <v>45000</v>
      </c>
      <c r="S39" s="54">
        <v>10</v>
      </c>
      <c r="T39" s="47">
        <f>(IF(Tableau624[[#This Row],[Achat / don]]&gt;0,(Tableau624[[#This Row],[taux fréq]]*Tableau624[[#This Row],[Prix Achat]])/Tableau624[[#This Row],[durée Amort]],0))</f>
        <v>3723.2876712328771</v>
      </c>
      <c r="U39" s="55">
        <f>Tableau624[[#This Row],[taux fréq]]*Tableau624[[#This Row],[Prix Achat]]*Bdd!$E$24</f>
        <v>4467.9452054794519</v>
      </c>
      <c r="V39" s="56">
        <v>8</v>
      </c>
      <c r="W39" s="47">
        <f>Tableau624[[#This Row],[fréq/an]]*Tableau624[[#This Row],[GO VC (l)]]*Bdd!$E$22</f>
        <v>4409.2</v>
      </c>
      <c r="X39" s="49">
        <f>Tableau624[[#This Row],[GO VC d/an]]*Bdd!$E$23</f>
        <v>440.92</v>
      </c>
      <c r="Y39" s="72">
        <v>1</v>
      </c>
      <c r="Z39" s="63">
        <v>0</v>
      </c>
      <c r="AA39" s="63">
        <v>0</v>
      </c>
      <c r="AB39" s="64">
        <f>(Tableau624[[#This Row],[Chauf P]]+Tableau624[[#This Row],[Chau OM]]+Tableau624[[#This Row],[Chau OD]])*Bdd!$E$36</f>
        <v>1.26</v>
      </c>
      <c r="AC39" s="65">
        <v>1</v>
      </c>
      <c r="AD39" s="63">
        <v>2</v>
      </c>
      <c r="AE39" s="63">
        <v>0</v>
      </c>
      <c r="AF39" s="64">
        <f>(Tableau624[[#This Row],[Ouv P]]+Tableau624[[#This Row],[Ouv OM]]+Tableau624[[#This Row],[Ouv OD]])*Bdd!$E$36</f>
        <v>3.7800000000000002</v>
      </c>
      <c r="AG39" s="65">
        <f>Tableau624[[#This Row],[taux fréq]]*((Tableau624[[#This Row],[Chauf P]]+Tableau624[[#This Row],[Ouv P]])*Bdd!$E$32+(Tableau624[[#This Row],[Chau OM]]+Tableau624[[#This Row],[Ouv OM]])*Bdd!$E$33)*(1+Bdd!$E$26)</f>
        <v>33966.312328767126</v>
      </c>
      <c r="AH39" s="65">
        <f>Tableau624[[#This Row],[Don]]+Tableau624[[#This Row],[Bud Com]]</f>
        <v>0</v>
      </c>
      <c r="AI39" s="66">
        <v>0</v>
      </c>
      <c r="AJ39" s="66">
        <v>0</v>
      </c>
      <c r="AK39" s="65">
        <f>IF(Tableau624[[#This Row],[Nb Pick-up]]&gt;0,Tableau624[[#This Row],[Nb Pick-up]]*Calcul!D25,0)</f>
        <v>0</v>
      </c>
      <c r="AL39" s="65">
        <f>IF(Tableau624[[#This Row],[Nb Pick-up]]&gt;0,10,0)</f>
        <v>0</v>
      </c>
      <c r="AM39" s="65">
        <f>IF(Tableau624[[#This Row],[Nb Pick-up]]&gt;0,(Tableau624[[#This Row],[Bud Com]]*Tableau624[[#This Row],[Prix Pup]])/Tableau624[[#This Row],[Durée Am Pup]],0)</f>
        <v>0</v>
      </c>
      <c r="AN39" s="65">
        <v>0</v>
      </c>
      <c r="AO39" s="65">
        <f>Tableau624[[#This Row],[fréq/an]]*Tableau624[[#This Row],[Nb Pick-up]]*Tableau624[[#This Row],[GO Pup]]*Bdd!$E$22</f>
        <v>0</v>
      </c>
      <c r="AP39" s="65">
        <f>Tableau624[[#This Row],[GO Pup TND/an]]*Bdd!$E$23</f>
        <v>0</v>
      </c>
      <c r="AQ39" s="66">
        <v>0</v>
      </c>
      <c r="AR39" s="66">
        <v>0</v>
      </c>
      <c r="AS39" s="65">
        <f>Tableau624[[#This Row],[taux fréq]]*((Tableau624[[#This Row],[Nb Pick-up]]+Tableau624[[#This Row],[Ouv P (PK)]])*Bdd!$E$32+Tableau624[[#This Row],[Ouv OM (PK)]]*Bdd!$E$33)*(1+Bdd!$E$26)*Bdd!$E$37</f>
        <v>0</v>
      </c>
      <c r="AT39" s="65">
        <f>Tableau624[[#This Row],[taux fréq]]*Tableau624[[#This Row],[Nb Pick-up]]*Tableau624[[#This Row],[Prix Pup]]*Bdd!$E$24</f>
        <v>0</v>
      </c>
      <c r="AU39" s="66">
        <v>0</v>
      </c>
      <c r="AV39" s="66">
        <v>0</v>
      </c>
      <c r="AW39" s="66">
        <v>0</v>
      </c>
      <c r="AX39" s="65">
        <f>IF(Tableau624[[#This Row],[Nb Tx]]&gt;0,Tableau624[[#This Row],[taux fréq]]*Tableau624[[#This Row],[Nb Tx]]*Tableau624[[#This Row],[Prix Tx]]/Tableau624[[#This Row],[Durée Am]],0)</f>
        <v>0</v>
      </c>
      <c r="AY39" s="65"/>
      <c r="AZ39" s="65">
        <f>Tableau624[[#This Row],[fréq/an]]*Tableau624[[#This Row],[Nb Tx]]*Tableau624[[#This Row],[GO Tx l/séance]]*Bdd!$E$22</f>
        <v>0</v>
      </c>
      <c r="BA39" s="65">
        <f>Tableau624[[#This Row],[GO TND/an]]*Bdd!$E$23</f>
        <v>0</v>
      </c>
      <c r="BB39" s="65">
        <f>Tableau624[[#This Row],[taux fréq]]*Tableau624[[#This Row],[Nb Tx]]*Tableau624[[#This Row],[Prix Tx]]*Bdd!$E$24</f>
        <v>0</v>
      </c>
      <c r="BC39" s="65">
        <f>Tableau624[[#This Row],[taux fréq]]*Tableau624[[#This Row],[Nb Tx]]*Bdd!$E$32*Bdd!$E$36*(1+Bdd!$E$26)</f>
        <v>0</v>
      </c>
      <c r="BD39" s="65">
        <v>0</v>
      </c>
      <c r="BE39" s="65">
        <f>(Tableau624[[#This Row],[Nb C770]]*Bdd!$D$5)</f>
        <v>0</v>
      </c>
      <c r="BF39" s="65">
        <v>0</v>
      </c>
      <c r="BG39" s="66">
        <f>(Tableau624[[#This Row],[Nb C240]]*Bdd!$D$6)</f>
        <v>0</v>
      </c>
      <c r="BH39" s="65">
        <v>0</v>
      </c>
      <c r="BI39" s="65">
        <f>(Tableau624[[#This Row],[Nb Brouettes]]*Bdd!$D$7)</f>
        <v>0</v>
      </c>
      <c r="BJ39" s="66">
        <f>(Tableau624[[#This Row],[C770 TND/an]]+Tableau624[[#This Row],[Brouettes TND/an]]+Tableau624[[#This Row],[C240 TND/an3]])/Bdd!$E$5</f>
        <v>0</v>
      </c>
      <c r="BK39" s="47">
        <f>(Tableau624[[#This Row],[C770 TND/an]]+Tableau624[[#This Row],[C240 TND/an3]]+Tableau624[[#This Row],[Brouettes TND/an]])*Bdd!$E$24</f>
        <v>0</v>
      </c>
      <c r="BL39" s="47">
        <v>0</v>
      </c>
      <c r="BM39" s="66">
        <v>2</v>
      </c>
      <c r="BN39" s="66">
        <v>0</v>
      </c>
      <c r="BO39" s="70">
        <f>Tableau624[[#This Row],[Nb Ouv P]]+Tableau624[[#This Row],[Nb OM]]+Tableau624[[#This Row],[Nb OD]]</f>
        <v>2</v>
      </c>
      <c r="BP39" s="47">
        <f>Tableau624[[#This Row],[taux fréq]]*(Tableau624[[#This Row],[Nb Ouv P]]*Bdd!$E$32+Tableau624[[#This Row],[Nb OM]]*Bdd!$E$33)*(1+Bdd!$E$26)</f>
        <v>11030.860273972605</v>
      </c>
      <c r="BQ39" s="61">
        <f>Tableau624[[#This Row],[chauf maj]]+Tableau624[[#This Row],[Nb Pick-up]]+Tableau624[[#This Row],[Nb Tx]]</f>
        <v>1.26</v>
      </c>
      <c r="BR39" s="47">
        <f>Tableau624[[#This Row],[Ebou maj]]+Tableau624[[#This Row],[Nb Pick-up]]+Tableau624[[#This Row],[Nb Tx]]+Tableau624[[#This Row],[Nb Ouv P]]+Tableau624[[#This Row],[Nb OM]]+Tableau624[[#This Row],[Nb OD]]</f>
        <v>5.78</v>
      </c>
      <c r="BS39" s="47">
        <f>Tableau624[[#This Row],[Total 1 chaffeurs]]*Bdd!$E$39</f>
        <v>504</v>
      </c>
      <c r="BT39" s="47">
        <f>Tableau624[[#This Row],[Total 2 ouvriers]]*Bdd!$E$40</f>
        <v>1965.2</v>
      </c>
      <c r="BU39" s="47">
        <f>Tableau624[[#This Row],[Total 1 chaffeurs]]+Tableau624[[#This Row],[Total 2 ouvriers]]</f>
        <v>7.04</v>
      </c>
      <c r="BV39" s="65">
        <f>Tableau624[[#This Row],[Am C+b]]+Tableau624[[#This Row],[Amo Pup]]+Tableau624[[#This Row],[Amo VC]]+Tableau624[[#This Row],[Am Tx TND/an]]</f>
        <v>3723.2876712328771</v>
      </c>
      <c r="BW39" s="65">
        <f>Tableau624[[#This Row],[salaires VCTND/an]]+Tableau624[[#This Row],[Salaire Pup TND/an]]+Tableau624[[#This Row],[salaire pré-col TND/an]]+Tableau624[[#This Row],[Salaire TND/an]]</f>
        <v>44997.172602739731</v>
      </c>
      <c r="BX39" s="66">
        <f>Tableau624[[#This Row],[Tenues chauf TND]]+Tableau624[[#This Row],[Tenues ouv TND]]</f>
        <v>2469.1999999999998</v>
      </c>
      <c r="BY39" s="66">
        <f>Tableau624[[#This Row],[Total 1+2]]*Bdd!$E$41*(Bdd!$E$25-Bdd!$E$35)</f>
        <v>2395.0079999999998</v>
      </c>
      <c r="BZ39" s="66">
        <f>Tableau624[[#This Row],[GO VC d/an]]+Tableau624[[#This Row],[Lub VC d/an]]+Tableau624[[#This Row],[GO Pup TND/an]]+Tableau624[[#This Row],[Lub Pup TND/an]]+Tableau624[[#This Row],[GO TND/an]]+Tableau624[[#This Row],[Lub Tx TND/an]]</f>
        <v>4850.12</v>
      </c>
      <c r="CA39" s="66">
        <f>Tableau624[[#This Row],[Rép Cont]]+Tableau624[[#This Row],[Rép Pup TND/an]]+Tableau624[[#This Row],[Rép VC]]+Tableau624[[#This Row],[Répar Tx TND/an]]</f>
        <v>4467.9452054794519</v>
      </c>
      <c r="CB39" s="66">
        <v>0</v>
      </c>
      <c r="CC39" s="66">
        <v>0</v>
      </c>
      <c r="CD39" s="66">
        <f>Tableau624[[#This Row],[Tcol/an]]*Bdd!$E$42</f>
        <v>0</v>
      </c>
      <c r="CE39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62902.733479452065</v>
      </c>
      <c r="CF39" s="66">
        <f>Tableau624[[#This Row],[Frais exploitatio]]*Bdd!$E$27</f>
        <v>12580.546695890414</v>
      </c>
      <c r="CG39" s="71">
        <f>Tableau624[[#This Row],[Frais exploitatio]]+Tableau624[[#This Row],[Frais généraux]]</f>
        <v>75483.280175342486</v>
      </c>
      <c r="CH39" s="107">
        <f>Tableau624[[#This Row],[Coût total ]]/Tableau624[[#This Row],[Tcol/an]]</f>
        <v>178.53188310156693</v>
      </c>
    </row>
    <row r="40" spans="1:86" ht="15" customHeight="1" x14ac:dyDescent="0.35">
      <c r="A40" s="39"/>
      <c r="B40" s="102" t="s">
        <v>117</v>
      </c>
      <c r="C40" s="103" t="s">
        <v>124</v>
      </c>
      <c r="D40" s="104" t="s">
        <v>125</v>
      </c>
      <c r="E40" s="69" t="s">
        <v>103</v>
      </c>
      <c r="F40" s="57">
        <v>8</v>
      </c>
      <c r="G40" s="60">
        <v>0.2</v>
      </c>
      <c r="H40" s="61">
        <v>1</v>
      </c>
      <c r="I40" s="45">
        <v>302</v>
      </c>
      <c r="J40" s="52">
        <f>Tableau624[[#This Row],[fréq/an]]/Bdd!$E$25</f>
        <v>0.82739726027397265</v>
      </c>
      <c r="K40" s="53">
        <f>Tableau624[[#This Row],[Nb voyage]]*Tableau624[[#This Row],[densité DMA]]*Tableau624[[#This Row],[V : m3]]</f>
        <v>1.6</v>
      </c>
      <c r="L40" s="53">
        <v>1.2</v>
      </c>
      <c r="M40" s="53">
        <f>Tableau624[[#This Row],[Nb voyage]]*Tableau624[[#This Row],[T col / V]]</f>
        <v>1.2</v>
      </c>
      <c r="N40" s="62">
        <f>Tableau624[[#This Row],[Tcol/an]]/Tableau624[[#This Row],[T Max T/an]]</f>
        <v>0.74999999999999989</v>
      </c>
      <c r="O40" s="49">
        <f>Tableau624[[#This Row],[fréq/an]]*Tableau624[[#This Row],[Tmax/ séance]]</f>
        <v>483.20000000000005</v>
      </c>
      <c r="P40" s="47">
        <f>Tableau624[[#This Row],[fréq/an]]*Tableau624[[#This Row],[T col / séance]]</f>
        <v>362.4</v>
      </c>
      <c r="Q40" s="58">
        <v>1</v>
      </c>
      <c r="R40" s="57">
        <v>45000</v>
      </c>
      <c r="S40" s="54">
        <v>10</v>
      </c>
      <c r="T40" s="47">
        <f>(IF(Tableau624[[#This Row],[Achat / don]]&gt;0,(Tableau624[[#This Row],[taux fréq]]*Tableau624[[#This Row],[Prix Achat]])/Tableau624[[#This Row],[durée Amort]],0))</f>
        <v>3723.2876712328771</v>
      </c>
      <c r="U40" s="55">
        <f>Tableau624[[#This Row],[taux fréq]]*Tableau624[[#This Row],[Prix Achat]]*Bdd!$E$24</f>
        <v>4467.9452054794519</v>
      </c>
      <c r="V40" s="56">
        <v>8</v>
      </c>
      <c r="W40" s="47">
        <f>Tableau624[[#This Row],[fréq/an]]*Tableau624[[#This Row],[GO VC (l)]]*Bdd!$E$22</f>
        <v>4409.2</v>
      </c>
      <c r="X40" s="49">
        <f>Tableau624[[#This Row],[GO VC d/an]]*Bdd!$E$23</f>
        <v>440.92</v>
      </c>
      <c r="Y40" s="72">
        <v>1</v>
      </c>
      <c r="Z40" s="63">
        <v>0</v>
      </c>
      <c r="AA40" s="63">
        <v>0</v>
      </c>
      <c r="AB40" s="64">
        <f>(Tableau624[[#This Row],[Chauf P]]+Tableau624[[#This Row],[Chau OM]]+Tableau624[[#This Row],[Chau OD]])*Bdd!$E$36</f>
        <v>1.26</v>
      </c>
      <c r="AC40" s="65">
        <v>1</v>
      </c>
      <c r="AD40" s="63">
        <v>2</v>
      </c>
      <c r="AE40" s="63">
        <v>0</v>
      </c>
      <c r="AF40" s="64">
        <f>(Tableau624[[#This Row],[Ouv P]]+Tableau624[[#This Row],[Ouv OM]]+Tableau624[[#This Row],[Ouv OD]])*Bdd!$E$36</f>
        <v>3.7800000000000002</v>
      </c>
      <c r="AG40" s="65">
        <f>Tableau624[[#This Row],[taux fréq]]*((Tableau624[[#This Row],[Chauf P]]+Tableau624[[#This Row],[Ouv P]])*Bdd!$E$32+(Tableau624[[#This Row],[Chau OM]]+Tableau624[[#This Row],[Ouv OM]])*Bdd!$E$33)*(1+Bdd!$E$26)</f>
        <v>33966.312328767126</v>
      </c>
      <c r="AH40" s="65">
        <f>Tableau624[[#This Row],[Don]]+Tableau624[[#This Row],[Bud Com]]</f>
        <v>0</v>
      </c>
      <c r="AI40" s="66">
        <v>0</v>
      </c>
      <c r="AJ40" s="66">
        <v>0</v>
      </c>
      <c r="AK40" s="65">
        <f>IF(Tableau624[[#This Row],[Nb Pick-up]]&gt;0,Tableau624[[#This Row],[Nb Pick-up]]*Calcul!D26,0)</f>
        <v>0</v>
      </c>
      <c r="AL40" s="65">
        <f>IF(Tableau624[[#This Row],[Nb Pick-up]]&gt;0,10,0)</f>
        <v>0</v>
      </c>
      <c r="AM40" s="65">
        <f>IF(Tableau624[[#This Row],[Nb Pick-up]]&gt;0,(Tableau624[[#This Row],[Bud Com]]*Tableau624[[#This Row],[Prix Pup]])/Tableau624[[#This Row],[Durée Am Pup]],0)</f>
        <v>0</v>
      </c>
      <c r="AN40" s="65">
        <v>0</v>
      </c>
      <c r="AO40" s="65">
        <f>Tableau624[[#This Row],[fréq/an]]*Tableau624[[#This Row],[Nb Pick-up]]*Tableau624[[#This Row],[GO Pup]]*Bdd!$E$22</f>
        <v>0</v>
      </c>
      <c r="AP40" s="65">
        <f>Tableau624[[#This Row],[GO Pup TND/an]]*Bdd!$E$23</f>
        <v>0</v>
      </c>
      <c r="AQ40" s="66">
        <v>0</v>
      </c>
      <c r="AR40" s="66">
        <v>0</v>
      </c>
      <c r="AS40" s="65">
        <f>Tableau624[[#This Row],[taux fréq]]*((Tableau624[[#This Row],[Nb Pick-up]]+Tableau624[[#This Row],[Ouv P (PK)]])*Bdd!$E$32+Tableau624[[#This Row],[Ouv OM (PK)]]*Bdd!$E$33)*(1+Bdd!$E$26)*Bdd!$E$37</f>
        <v>0</v>
      </c>
      <c r="AT40" s="65">
        <f>Tableau624[[#This Row],[taux fréq]]*Tableau624[[#This Row],[Nb Pick-up]]*Tableau624[[#This Row],[Prix Pup]]*Bdd!$E$24</f>
        <v>0</v>
      </c>
      <c r="AU40" s="66">
        <v>0</v>
      </c>
      <c r="AV40" s="66">
        <v>0</v>
      </c>
      <c r="AW40" s="66">
        <v>0</v>
      </c>
      <c r="AX40" s="65">
        <f>IF(Tableau624[[#This Row],[Nb Tx]]&gt;0,Tableau624[[#This Row],[taux fréq]]*Tableau624[[#This Row],[Nb Tx]]*Tableau624[[#This Row],[Prix Tx]]/Tableau624[[#This Row],[Durée Am]],0)</f>
        <v>0</v>
      </c>
      <c r="AY40" s="65"/>
      <c r="AZ40" s="65">
        <f>Tableau624[[#This Row],[fréq/an]]*Tableau624[[#This Row],[Nb Tx]]*Tableau624[[#This Row],[GO Tx l/séance]]*Bdd!$E$22</f>
        <v>0</v>
      </c>
      <c r="BA40" s="65">
        <f>Tableau624[[#This Row],[GO TND/an]]*Bdd!$E$23</f>
        <v>0</v>
      </c>
      <c r="BB40" s="65">
        <f>Tableau624[[#This Row],[taux fréq]]*Tableau624[[#This Row],[Nb Tx]]*Tableau624[[#This Row],[Prix Tx]]*Bdd!$E$24</f>
        <v>0</v>
      </c>
      <c r="BC40" s="65">
        <f>Tableau624[[#This Row],[taux fréq]]*Tableau624[[#This Row],[Nb Tx]]*Bdd!$E$32*Bdd!$E$36*(1+Bdd!$E$26)</f>
        <v>0</v>
      </c>
      <c r="BD40" s="65">
        <v>0</v>
      </c>
      <c r="BE40" s="65">
        <f>(Tableau624[[#This Row],[Nb C770]]*Bdd!$D$5)</f>
        <v>0</v>
      </c>
      <c r="BF40" s="65">
        <v>0</v>
      </c>
      <c r="BG40" s="66">
        <f>(Tableau624[[#This Row],[Nb C240]]*Bdd!$D$6)</f>
        <v>0</v>
      </c>
      <c r="BH40" s="65">
        <v>0</v>
      </c>
      <c r="BI40" s="65">
        <f>(Tableau624[[#This Row],[Nb Brouettes]]*Bdd!$D$7)</f>
        <v>0</v>
      </c>
      <c r="BJ40" s="66">
        <f>(Tableau624[[#This Row],[C770 TND/an]]+Tableau624[[#This Row],[Brouettes TND/an]]+Tableau624[[#This Row],[C240 TND/an3]])/Bdd!$E$5</f>
        <v>0</v>
      </c>
      <c r="BK40" s="47">
        <f>(Tableau624[[#This Row],[C770 TND/an]]+Tableau624[[#This Row],[C240 TND/an3]]+Tableau624[[#This Row],[Brouettes TND/an]])*Bdd!$E$24</f>
        <v>0</v>
      </c>
      <c r="BL40" s="47">
        <v>0</v>
      </c>
      <c r="BM40" s="66">
        <v>0</v>
      </c>
      <c r="BN40" s="66">
        <v>1</v>
      </c>
      <c r="BO40" s="70">
        <f>Tableau624[[#This Row],[Nb Ouv P]]+Tableau624[[#This Row],[Nb OM]]+Tableau624[[#This Row],[Nb OD]]</f>
        <v>1</v>
      </c>
      <c r="BP40" s="47">
        <f>Tableau624[[#This Row],[taux fréq]]*(Tableau624[[#This Row],[Nb Ouv P]]*Bdd!$E$32+Tableau624[[#This Row],[Nb OM]]*Bdd!$E$33)*(1+Bdd!$E$26)</f>
        <v>0</v>
      </c>
      <c r="BQ40" s="61">
        <f>Tableau624[[#This Row],[chauf maj]]+Tableau624[[#This Row],[Nb Pick-up]]+Tableau624[[#This Row],[Nb Tx]]</f>
        <v>1.26</v>
      </c>
      <c r="BR40" s="47">
        <f>Tableau624[[#This Row],[Ebou maj]]+Tableau624[[#This Row],[Nb Pick-up]]+Tableau624[[#This Row],[Nb Tx]]+Tableau624[[#This Row],[Nb Ouv P]]+Tableau624[[#This Row],[Nb OM]]+Tableau624[[#This Row],[Nb OD]]</f>
        <v>4.78</v>
      </c>
      <c r="BS40" s="47">
        <f>Tableau624[[#This Row],[Total 1 chaffeurs]]*Bdd!$E$39</f>
        <v>504</v>
      </c>
      <c r="BT40" s="47">
        <f>Tableau624[[#This Row],[Total 2 ouvriers]]*Bdd!$E$40</f>
        <v>1625.2</v>
      </c>
      <c r="BU40" s="47">
        <f>Tableau624[[#This Row],[Total 1 chaffeurs]]+Tableau624[[#This Row],[Total 2 ouvriers]]</f>
        <v>6.04</v>
      </c>
      <c r="BV40" s="65">
        <f>Tableau624[[#This Row],[Am C+b]]+Tableau624[[#This Row],[Amo Pup]]+Tableau624[[#This Row],[Amo VC]]+Tableau624[[#This Row],[Am Tx TND/an]]</f>
        <v>3723.2876712328771</v>
      </c>
      <c r="BW40" s="65">
        <f>Tableau624[[#This Row],[salaires VCTND/an]]+Tableau624[[#This Row],[Salaire Pup TND/an]]+Tableau624[[#This Row],[salaire pré-col TND/an]]+Tableau624[[#This Row],[Salaire TND/an]]</f>
        <v>33966.312328767126</v>
      </c>
      <c r="BX40" s="66">
        <f>Tableau624[[#This Row],[Tenues chauf TND]]+Tableau624[[#This Row],[Tenues ouv TND]]</f>
        <v>2129.1999999999998</v>
      </c>
      <c r="BY40" s="66">
        <f>Tableau624[[#This Row],[Total 1+2]]*Bdd!$E$41*(Bdd!$E$25-Bdd!$E$35)</f>
        <v>2054.808</v>
      </c>
      <c r="BZ40" s="66">
        <f>Tableau624[[#This Row],[GO VC d/an]]+Tableau624[[#This Row],[Lub VC d/an]]+Tableau624[[#This Row],[GO Pup TND/an]]+Tableau624[[#This Row],[Lub Pup TND/an]]+Tableau624[[#This Row],[GO TND/an]]+Tableau624[[#This Row],[Lub Tx TND/an]]</f>
        <v>4850.12</v>
      </c>
      <c r="CA40" s="66">
        <f>Tableau624[[#This Row],[Rép Cont]]+Tableau624[[#This Row],[Rép Pup TND/an]]+Tableau624[[#This Row],[Rép VC]]+Tableau624[[#This Row],[Répar Tx TND/an]]</f>
        <v>4467.9452054794519</v>
      </c>
      <c r="CB40" s="66">
        <v>0</v>
      </c>
      <c r="CC40" s="66">
        <v>0</v>
      </c>
      <c r="CD40" s="66">
        <f>Tableau624[[#This Row],[Tcol/an]]*Bdd!$E$42</f>
        <v>0</v>
      </c>
      <c r="CE40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51191.673205479456</v>
      </c>
      <c r="CF40" s="66">
        <f>Tableau624[[#This Row],[Frais exploitatio]]*Bdd!$E$27</f>
        <v>10238.334641095891</v>
      </c>
      <c r="CG40" s="71">
        <f>Tableau624[[#This Row],[Frais exploitatio]]+Tableau624[[#This Row],[Frais généraux]]</f>
        <v>61430.007846575347</v>
      </c>
      <c r="CH40" s="107">
        <f>Tableau624[[#This Row],[Coût total ]]/Tableau624[[#This Row],[Tcol/an]]</f>
        <v>169.50885167377305</v>
      </c>
    </row>
    <row r="41" spans="1:86" ht="15" customHeight="1" x14ac:dyDescent="0.35">
      <c r="A41" s="39"/>
      <c r="B41" s="102" t="s">
        <v>117</v>
      </c>
      <c r="C41" s="103" t="s">
        <v>126</v>
      </c>
      <c r="D41" s="101" t="s">
        <v>127</v>
      </c>
      <c r="E41" s="69" t="s">
        <v>106</v>
      </c>
      <c r="F41" s="57">
        <v>10</v>
      </c>
      <c r="G41" s="60">
        <v>0.2</v>
      </c>
      <c r="H41" s="61">
        <v>2</v>
      </c>
      <c r="I41" s="45">
        <v>302</v>
      </c>
      <c r="J41" s="52">
        <f>Tableau624[[#This Row],[fréq/an]]/Bdd!$E$25</f>
        <v>0.82739726027397265</v>
      </c>
      <c r="K41" s="53">
        <f>Tableau624[[#This Row],[Nb voyage]]*Tableau624[[#This Row],[densité DMA]]*Tableau624[[#This Row],[V : m3]]</f>
        <v>4</v>
      </c>
      <c r="L41" s="53">
        <v>1.6</v>
      </c>
      <c r="M41" s="53">
        <f>Tableau624[[#This Row],[Nb voyage]]*Tableau624[[#This Row],[T col / V]]</f>
        <v>3.2</v>
      </c>
      <c r="N41" s="62">
        <f>Tableau624[[#This Row],[Tcol/an]]/Tableau624[[#This Row],[T Max T/an]]</f>
        <v>0.8</v>
      </c>
      <c r="O41" s="49">
        <f>Tableau624[[#This Row],[fréq/an]]*Tableau624[[#This Row],[Tmax/ séance]]</f>
        <v>1208</v>
      </c>
      <c r="P41" s="47">
        <f>Tableau624[[#This Row],[fréq/an]]*Tableau624[[#This Row],[T col / séance]]</f>
        <v>966.40000000000009</v>
      </c>
      <c r="Q41" s="58">
        <v>1</v>
      </c>
      <c r="R41" s="57">
        <v>75000</v>
      </c>
      <c r="S41" s="54">
        <v>10</v>
      </c>
      <c r="T41" s="47">
        <f>(IF(Tableau624[[#This Row],[Achat / don]]&gt;0,(Tableau624[[#This Row],[taux fréq]]*Tableau624[[#This Row],[Prix Achat]])/Tableau624[[#This Row],[durée Amort]],0))</f>
        <v>6205.4794520547948</v>
      </c>
      <c r="U41" s="55">
        <f>Tableau624[[#This Row],[taux fréq]]*Tableau624[[#This Row],[Prix Achat]]*Bdd!$E$24</f>
        <v>7446.5753424657532</v>
      </c>
      <c r="V41" s="56">
        <v>10</v>
      </c>
      <c r="W41" s="47">
        <f>Tableau624[[#This Row],[fréq/an]]*Tableau624[[#This Row],[GO VC (l)]]*Bdd!$E$22</f>
        <v>5511.5</v>
      </c>
      <c r="X41" s="49">
        <f>Tableau624[[#This Row],[GO VC d/an]]*Bdd!$E$23</f>
        <v>551.15</v>
      </c>
      <c r="Y41" s="72">
        <v>1</v>
      </c>
      <c r="Z41" s="63">
        <v>0</v>
      </c>
      <c r="AA41" s="63">
        <v>0</v>
      </c>
      <c r="AB41" s="64">
        <f>(Tableau624[[#This Row],[Chauf P]]+Tableau624[[#This Row],[Chau OM]]+Tableau624[[#This Row],[Chau OD]])*Bdd!$E$36</f>
        <v>1.26</v>
      </c>
      <c r="AC41" s="65">
        <v>0</v>
      </c>
      <c r="AD41" s="63">
        <v>0</v>
      </c>
      <c r="AE41" s="63">
        <v>3</v>
      </c>
      <c r="AF41" s="64">
        <f>(Tableau624[[#This Row],[Ouv P]]+Tableau624[[#This Row],[Ouv OM]]+Tableau624[[#This Row],[Ouv OD]])*Bdd!$E$36</f>
        <v>3.7800000000000002</v>
      </c>
      <c r="AG41" s="65">
        <f>Tableau624[[#This Row],[taux fréq]]*((Tableau624[[#This Row],[Chauf P]]+Tableau624[[#This Row],[Ouv P]])*Bdd!$E$32+(Tableau624[[#This Row],[Chau OM]]+Tableau624[[#This Row],[Ouv OM]])*Bdd!$E$33)*(1+Bdd!$E$26)</f>
        <v>11467.726027397262</v>
      </c>
      <c r="AH41" s="65">
        <f>Tableau624[[#This Row],[Don]]+Tableau624[[#This Row],[Bud Com]]</f>
        <v>0</v>
      </c>
      <c r="AI41" s="66">
        <v>0</v>
      </c>
      <c r="AJ41" s="66">
        <v>0</v>
      </c>
      <c r="AK41" s="65">
        <f>IF(Tableau624[[#This Row],[Nb Pick-up]]&gt;0,Tableau624[[#This Row],[Nb Pick-up]]*Calcul!D27,0)</f>
        <v>0</v>
      </c>
      <c r="AL41" s="65">
        <f>IF(Tableau624[[#This Row],[Nb Pick-up]]&gt;0,10,0)</f>
        <v>0</v>
      </c>
      <c r="AM41" s="65">
        <f>IF(Tableau624[[#This Row],[Nb Pick-up]]&gt;0,(Tableau624[[#This Row],[Bud Com]]*Tableau624[[#This Row],[Prix Pup]])/Tableau624[[#This Row],[Durée Am Pup]],0)</f>
        <v>0</v>
      </c>
      <c r="AN41" s="65">
        <v>0</v>
      </c>
      <c r="AO41" s="65">
        <f>Tableau624[[#This Row],[fréq/an]]*Tableau624[[#This Row],[Nb Pick-up]]*Tableau624[[#This Row],[GO Pup]]*Bdd!$E$22</f>
        <v>0</v>
      </c>
      <c r="AP41" s="65">
        <f>Tableau624[[#This Row],[GO Pup TND/an]]*Bdd!$E$23</f>
        <v>0</v>
      </c>
      <c r="AQ41" s="66">
        <v>0</v>
      </c>
      <c r="AR41" s="66">
        <v>0</v>
      </c>
      <c r="AS41" s="65">
        <f>Tableau624[[#This Row],[taux fréq]]*((Tableau624[[#This Row],[Nb Pick-up]]+Tableau624[[#This Row],[Ouv P (PK)]])*Bdd!$E$32+Tableau624[[#This Row],[Ouv OM (PK)]]*Bdd!$E$33)*(1+Bdd!$E$26)*Bdd!$E$37</f>
        <v>0</v>
      </c>
      <c r="AT41" s="65">
        <f>Tableau624[[#This Row],[taux fréq]]*Tableau624[[#This Row],[Nb Pick-up]]*Tableau624[[#This Row],[Prix Pup]]*Bdd!$E$24</f>
        <v>0</v>
      </c>
      <c r="AU41" s="66">
        <v>0</v>
      </c>
      <c r="AV41" s="66">
        <v>0</v>
      </c>
      <c r="AW41" s="66">
        <v>0</v>
      </c>
      <c r="AX41" s="65">
        <f>IF(Tableau624[[#This Row],[Nb Tx]]&gt;0,Tableau624[[#This Row],[taux fréq]]*Tableau624[[#This Row],[Nb Tx]]*Tableau624[[#This Row],[Prix Tx]]/Tableau624[[#This Row],[Durée Am]],0)</f>
        <v>0</v>
      </c>
      <c r="AY41" s="65"/>
      <c r="AZ41" s="65">
        <f>Tableau624[[#This Row],[fréq/an]]*Tableau624[[#This Row],[Nb Tx]]*Tableau624[[#This Row],[GO Tx l/séance]]*Bdd!$E$22</f>
        <v>0</v>
      </c>
      <c r="BA41" s="65">
        <f>Tableau624[[#This Row],[GO TND/an]]*Bdd!$E$23</f>
        <v>0</v>
      </c>
      <c r="BB41" s="65">
        <f>Tableau624[[#This Row],[taux fréq]]*Tableau624[[#This Row],[Nb Tx]]*Tableau624[[#This Row],[Prix Tx]]*Bdd!$E$24</f>
        <v>0</v>
      </c>
      <c r="BC41" s="65">
        <f>Tableau624[[#This Row],[taux fréq]]*Tableau624[[#This Row],[Nb Tx]]*Bdd!$E$32*Bdd!$E$36*(1+Bdd!$E$26)</f>
        <v>0</v>
      </c>
      <c r="BD41" s="65">
        <v>0</v>
      </c>
      <c r="BE41" s="65">
        <f>(Tableau624[[#This Row],[Nb C770]]*Bdd!$D$5)</f>
        <v>0</v>
      </c>
      <c r="BF41" s="65">
        <v>0</v>
      </c>
      <c r="BG41" s="66">
        <f>(Tableau624[[#This Row],[Nb C240]]*Bdd!$D$6)</f>
        <v>0</v>
      </c>
      <c r="BH41" s="65">
        <v>0</v>
      </c>
      <c r="BI41" s="65">
        <f>(Tableau624[[#This Row],[Nb Brouettes]]*Bdd!$D$7)</f>
        <v>0</v>
      </c>
      <c r="BJ41" s="66">
        <f>(Tableau624[[#This Row],[C770 TND/an]]+Tableau624[[#This Row],[Brouettes TND/an]]+Tableau624[[#This Row],[C240 TND/an3]])/Bdd!$E$5</f>
        <v>0</v>
      </c>
      <c r="BK41" s="47">
        <f>(Tableau624[[#This Row],[C770 TND/an]]+Tableau624[[#This Row],[C240 TND/an3]]+Tableau624[[#This Row],[Brouettes TND/an]])*Bdd!$E$24</f>
        <v>0</v>
      </c>
      <c r="BL41" s="47">
        <v>0</v>
      </c>
      <c r="BM41" s="66">
        <v>0</v>
      </c>
      <c r="BN41" s="66">
        <v>0</v>
      </c>
      <c r="BO41" s="70">
        <f>Tableau624[[#This Row],[Nb Ouv P]]+Tableau624[[#This Row],[Nb OM]]+Tableau624[[#This Row],[Nb OD]]</f>
        <v>0</v>
      </c>
      <c r="BP41" s="47">
        <f>Tableau624[[#This Row],[taux fréq]]*(Tableau624[[#This Row],[Nb Ouv P]]*Bdd!$E$32+Tableau624[[#This Row],[Nb OM]]*Bdd!$E$33)*(1+Bdd!$E$26)</f>
        <v>0</v>
      </c>
      <c r="BQ41" s="61">
        <f>Tableau624[[#This Row],[chauf maj]]+Tableau624[[#This Row],[Nb Pick-up]]+Tableau624[[#This Row],[Nb Tx]]</f>
        <v>1.26</v>
      </c>
      <c r="BR41" s="47">
        <f>Tableau624[[#This Row],[Ebou maj]]+Tableau624[[#This Row],[Nb Pick-up]]+Tableau624[[#This Row],[Nb Tx]]+Tableau624[[#This Row],[Nb Ouv P]]+Tableau624[[#This Row],[Nb OM]]+Tableau624[[#This Row],[Nb OD]]</f>
        <v>3.7800000000000002</v>
      </c>
      <c r="BS41" s="47">
        <f>Tableau624[[#This Row],[Total 1 chaffeurs]]*Bdd!$E$39</f>
        <v>504</v>
      </c>
      <c r="BT41" s="47">
        <f>Tableau624[[#This Row],[Total 2 ouvriers]]*Bdd!$E$40</f>
        <v>1285.2</v>
      </c>
      <c r="BU41" s="47">
        <f>Tableau624[[#This Row],[Total 1 chaffeurs]]+Tableau624[[#This Row],[Total 2 ouvriers]]</f>
        <v>5.04</v>
      </c>
      <c r="BV41" s="65">
        <f>Tableau624[[#This Row],[Am C+b]]+Tableau624[[#This Row],[Amo Pup]]+Tableau624[[#This Row],[Amo VC]]+Tableau624[[#This Row],[Am Tx TND/an]]</f>
        <v>6205.4794520547948</v>
      </c>
      <c r="BW41" s="65">
        <f>Tableau624[[#This Row],[salaires VCTND/an]]+Tableau624[[#This Row],[Salaire Pup TND/an]]+Tableau624[[#This Row],[salaire pré-col TND/an]]+Tableau624[[#This Row],[Salaire TND/an]]</f>
        <v>11467.726027397262</v>
      </c>
      <c r="BX41" s="66">
        <f>Tableau624[[#This Row],[Tenues chauf TND]]+Tableau624[[#This Row],[Tenues ouv TND]]</f>
        <v>1789.2</v>
      </c>
      <c r="BY41" s="66">
        <f>Tableau624[[#This Row],[Total 1+2]]*Bdd!$E$41*(Bdd!$E$25-Bdd!$E$35)</f>
        <v>1714.6080000000002</v>
      </c>
      <c r="BZ41" s="66">
        <f>Tableau624[[#This Row],[GO VC d/an]]+Tableau624[[#This Row],[Lub VC d/an]]+Tableau624[[#This Row],[GO Pup TND/an]]+Tableau624[[#This Row],[Lub Pup TND/an]]+Tableau624[[#This Row],[GO TND/an]]+Tableau624[[#This Row],[Lub Tx TND/an]]</f>
        <v>6062.65</v>
      </c>
      <c r="CA41" s="66">
        <f>Tableau624[[#This Row],[Rép Cont]]+Tableau624[[#This Row],[Rép Pup TND/an]]+Tableau624[[#This Row],[Rép VC]]+Tableau624[[#This Row],[Répar Tx TND/an]]</f>
        <v>7446.5753424657532</v>
      </c>
      <c r="CB41" s="66">
        <v>0</v>
      </c>
      <c r="CC41" s="66">
        <v>0</v>
      </c>
      <c r="CD41" s="66">
        <f>Tableau624[[#This Row],[Tcol/an]]*Bdd!$E$42</f>
        <v>0</v>
      </c>
      <c r="CE41" s="65">
        <f>Tableau624[[#This Row],[Amort]]+Tableau624[[#This Row],[Salaires]]+Tableau624[[#This Row],[Gasoil+ Lub]]+Tableau624[[#This Row],[Réparation]]+Tableau624[[#This Row],[Tenues travail]]+Tableau624[[#This Row],[Lait]]+Tableau624[[#This Row],[Frais décharge]]</f>
        <v>34686.23882191781</v>
      </c>
      <c r="CF41" s="66">
        <f>Tableau624[[#This Row],[Frais exploitatio]]*Bdd!$E$27</f>
        <v>6937.2477643835628</v>
      </c>
      <c r="CG41" s="71">
        <f>Tableau624[[#This Row],[Frais exploitatio]]+Tableau624[[#This Row],[Frais généraux]]</f>
        <v>41623.486586301369</v>
      </c>
      <c r="CH41" s="107">
        <f>Tableau624[[#This Row],[Coût total ]]/Tableau624[[#This Row],[Tcol/an]]</f>
        <v>43.07066078880522</v>
      </c>
    </row>
    <row r="42" spans="1:86" ht="15" customHeight="1" x14ac:dyDescent="0.35">
      <c r="B42" s="34"/>
      <c r="C42" s="35"/>
      <c r="D42" s="10">
        <f>SUBTOTAL(103,Tableau624[Circuit])</f>
        <v>13</v>
      </c>
      <c r="E42" s="10">
        <f>SUBTOTAL(103,Tableau624[Véhicule])</f>
        <v>13</v>
      </c>
      <c r="F42" s="10"/>
      <c r="G42" s="10"/>
      <c r="H42" s="11"/>
      <c r="I42" s="15"/>
      <c r="J42" s="12"/>
      <c r="K42" s="111">
        <f>SUBTOTAL(109,Tableau624[Tmax/ séance])</f>
        <v>43.750000000000007</v>
      </c>
      <c r="L42" s="111"/>
      <c r="M42" s="111">
        <f>SUBTOTAL(109,Tableau624[T col / séance])</f>
        <v>36.45000000000001</v>
      </c>
      <c r="N42" s="41">
        <f>Tableau624[[#Totals],[T col / séance]]/Tableau624[[#Totals],[Tmax/ séance]]</f>
        <v>0.83314285714285718</v>
      </c>
      <c r="O42" s="110">
        <f>SUBTOTAL(109,Tableau624[T Max T/an])</f>
        <v>14423.85</v>
      </c>
      <c r="P42" s="15">
        <f>SUBTOTAL(109,Tableau624[Tcol/an])</f>
        <v>12031.55</v>
      </c>
      <c r="Q42" s="3"/>
      <c r="R42" s="3"/>
      <c r="S42" s="3"/>
      <c r="T42" s="2">
        <f>SUBTOTAL(109,Tableau624[Amo VC])</f>
        <v>88920.547945205471</v>
      </c>
      <c r="U42" s="2">
        <f>SUBTOTAL(109,Tableau624[Rép VC])</f>
        <v>155168.21917808222</v>
      </c>
      <c r="V42" s="3"/>
      <c r="W42" s="2">
        <f>SUBTOTAL(109,Tableau624[GO VC d/an])</f>
        <v>115018.79999999999</v>
      </c>
      <c r="X42" s="2">
        <f>SUBTOTAL(109,Tableau624[Lub VC d/an])</f>
        <v>11501.88</v>
      </c>
      <c r="Y42" s="1">
        <f>SUBTOTAL(109,Tableau624[Chauf P])</f>
        <v>12</v>
      </c>
      <c r="Z42" s="1"/>
      <c r="AA42" s="1">
        <f>SUBTOTAL(109,Tableau624[Chau OD])</f>
        <v>0</v>
      </c>
      <c r="AB42" s="4">
        <f>SUBTOTAL(109,Tableau624[chauf maj])</f>
        <v>16.38</v>
      </c>
      <c r="AC42" s="1">
        <f>SUBTOTAL(109,Tableau624[Ouv P])</f>
        <v>13</v>
      </c>
      <c r="AD42" s="1">
        <f>SUBTOTAL(109,Tableau624[Ouv OM])</f>
        <v>12</v>
      </c>
      <c r="AE42" s="1">
        <f>SUBTOTAL(109,Tableau624[Ouv OD])</f>
        <v>10</v>
      </c>
      <c r="AF42" s="4">
        <f>SUBTOTAL(109,Tableau624[Ebou maj])</f>
        <v>44.100000000000009</v>
      </c>
      <c r="AG42" s="5">
        <f>SUBTOTAL(109,Tableau624[salaires VCTND/an])</f>
        <v>381246.01643835619</v>
      </c>
      <c r="AH42" s="6">
        <f>SUBTOTAL(109,Tableau624[Nb Pick-up])</f>
        <v>0</v>
      </c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4">
        <f>SUBTOTAL(109,Tableau624[Nb Tx])</f>
        <v>0</v>
      </c>
      <c r="AV42" s="6"/>
      <c r="AW42" s="6"/>
      <c r="AX42" s="6"/>
      <c r="AY42" s="6"/>
      <c r="AZ42" s="6"/>
      <c r="BA42" s="6"/>
      <c r="BB42" s="6"/>
      <c r="BC42" s="6"/>
      <c r="BD42" s="7">
        <f>SUBTOTAL(109,Tableau624[Nb C770])</f>
        <v>155</v>
      </c>
      <c r="BE42" s="7">
        <f>SUBTOTAL(109,Tableau624[C770 TND/an])</f>
        <v>77500</v>
      </c>
      <c r="BF42" s="7"/>
      <c r="BG42" s="7"/>
      <c r="BH42" s="7">
        <f>SUBTOTAL(109,Tableau624[Nb Brouettes])</f>
        <v>0</v>
      </c>
      <c r="BI42" s="7">
        <f>SUBTOTAL(109,Tableau624[Brouettes TND/an])</f>
        <v>0</v>
      </c>
      <c r="BJ42" s="7">
        <f>SUBTOTAL(109,Tableau624[Am C+b])</f>
        <v>35096</v>
      </c>
      <c r="BK42" s="7">
        <f>SUBTOTAL(109,Tableau624[Rép Cont])</f>
        <v>10528.8</v>
      </c>
      <c r="BL42" s="7">
        <f>SUBTOTAL(109,Tableau624[Nb Ouv P])</f>
        <v>0</v>
      </c>
      <c r="BM42" s="7">
        <f>SUBTOTAL(109,Tableau624[Nb OM])</f>
        <v>12</v>
      </c>
      <c r="BN42" s="7">
        <f>SUBTOTAL(109,Tableau624[Nb OD])</f>
        <v>5</v>
      </c>
      <c r="BO42" s="42">
        <f>SUBTOTAL(109,Tableau624[Balayage PC])</f>
        <v>17</v>
      </c>
      <c r="BP42" s="7"/>
      <c r="BQ42" s="7">
        <f>SUBTOTAL(109,Tableau624[Total 1 chaffeurs])</f>
        <v>16.38</v>
      </c>
      <c r="BR42" s="7">
        <f>SUBTOTAL(109,Tableau624[Total 2 ouvriers])</f>
        <v>61.100000000000009</v>
      </c>
      <c r="BS42" s="7">
        <f>SUBTOTAL(109,Tableau624[Tenues chauf TND])</f>
        <v>6552</v>
      </c>
      <c r="BT42" s="7">
        <f>SUBTOTAL(109,Tableau624[Tenues ouv TND])</f>
        <v>20774.000000000004</v>
      </c>
      <c r="BU42" s="7">
        <f>SUBTOTAL(109,Tableau624[Total 1+2])</f>
        <v>77.480000000000018</v>
      </c>
      <c r="BV42" s="7">
        <f>SUBTOTAL(109,Tableau624[Amort])</f>
        <v>124016.5479452055</v>
      </c>
      <c r="BW42" s="7">
        <f>SUBTOTAL(109,Tableau624[Salaires])</f>
        <v>449732.31780821923</v>
      </c>
      <c r="BX42" s="7">
        <f>SUBTOTAL(109,Tableau624[Tenues travail])</f>
        <v>27326.000000000004</v>
      </c>
      <c r="BY42" s="7">
        <f>SUBTOTAL(109,Tableau624[Lait])</f>
        <v>26358.696</v>
      </c>
      <c r="BZ42" s="7">
        <f>SUBTOTAL(109,Tableau624[Gasoil+ Lub])</f>
        <v>126520.67999999996</v>
      </c>
      <c r="CA42" s="7">
        <f>SUBTOTAL(109,Tableau624[Réparation])</f>
        <v>165697.01917808221</v>
      </c>
      <c r="CB42" s="7"/>
      <c r="CC42" s="7"/>
      <c r="CD42" s="7">
        <f>SUBTOTAL(109,Tableau624[Frais décharge])</f>
        <v>0</v>
      </c>
      <c r="CE42" s="7">
        <f>SUBTOTAL(109,Tableau624[Frais exploitatio])</f>
        <v>919651.2609315071</v>
      </c>
      <c r="CF42" s="7">
        <f>SUBTOTAL(109,Tableau624[Frais généraux])</f>
        <v>183930.2521863014</v>
      </c>
      <c r="CG42" s="7">
        <f>SUBTOTAL(109,Tableau624[[Coût total ]])</f>
        <v>1103581.5131178082</v>
      </c>
      <c r="CH42" s="105">
        <f>Tableau624[[#Totals],[Coût total ]]/Tableau624[[#Totals],[Tcol/an]]</f>
        <v>91.723968492655416</v>
      </c>
    </row>
    <row r="44" spans="1:86" x14ac:dyDescent="0.35">
      <c r="B44" s="108"/>
      <c r="C44" s="108"/>
      <c r="D44" s="13"/>
      <c r="E44" s="13"/>
    </row>
    <row r="45" spans="1:86" x14ac:dyDescent="0.35">
      <c r="Y45" s="37" t="s">
        <v>32</v>
      </c>
      <c r="Z45" s="116" t="s">
        <v>128</v>
      </c>
      <c r="AA45" s="116"/>
      <c r="AB45" s="116"/>
      <c r="AC45" s="116"/>
    </row>
    <row r="46" spans="1:86" x14ac:dyDescent="0.35">
      <c r="Y46" s="37" t="s">
        <v>129</v>
      </c>
      <c r="Z46" s="116" t="s">
        <v>130</v>
      </c>
      <c r="AA46" s="116"/>
      <c r="AB46" s="116"/>
      <c r="AC46" s="116"/>
    </row>
    <row r="47" spans="1:86" x14ac:dyDescent="0.35">
      <c r="Y47" s="37" t="s">
        <v>131</v>
      </c>
      <c r="Z47" s="116" t="s">
        <v>132</v>
      </c>
      <c r="AA47" s="116"/>
      <c r="AB47" s="116"/>
      <c r="AC47" s="116"/>
    </row>
  </sheetData>
  <mergeCells count="11">
    <mergeCell ref="BQ27:BT27"/>
    <mergeCell ref="BV27:CG27"/>
    <mergeCell ref="Q27:AG27"/>
    <mergeCell ref="AH27:AT27"/>
    <mergeCell ref="AU27:BC27"/>
    <mergeCell ref="BD27:BP27"/>
    <mergeCell ref="Z45:AC45"/>
    <mergeCell ref="Z46:AC46"/>
    <mergeCell ref="Z47:AC47"/>
    <mergeCell ref="K27:P27"/>
    <mergeCell ref="I27:J27"/>
  </mergeCells>
  <phoneticPr fontId="11" type="noConversion"/>
  <conditionalFormatting sqref="Q37:Q41">
    <cfRule type="cellIs" dxfId="189" priority="35" operator="lessThan">
      <formula>0.5</formula>
    </cfRule>
  </conditionalFormatting>
  <conditionalFormatting sqref="I40:I41">
    <cfRule type="cellIs" dxfId="188" priority="30" operator="equal">
      <formula>365</formula>
    </cfRule>
  </conditionalFormatting>
  <conditionalFormatting sqref="T37:T41">
    <cfRule type="cellIs" dxfId="187" priority="29" operator="equal">
      <formula>0</formula>
    </cfRule>
  </conditionalFormatting>
  <conditionalFormatting sqref="H29">
    <cfRule type="cellIs" dxfId="186" priority="28" operator="equal">
      <formula>2</formula>
    </cfRule>
  </conditionalFormatting>
  <conditionalFormatting sqref="CH29:CH41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{53BFF2A5-E7B9-4884-B424-168C551EE961}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BFF2A5-E7B9-4884-B424-168C551EE96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CH29:CH41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rgb="FF00FFFF"/>
  </sheetPr>
  <dimension ref="A1:I84"/>
  <sheetViews>
    <sheetView topLeftCell="A67" workbookViewId="0">
      <selection activeCell="C69" sqref="C69:F84"/>
    </sheetView>
  </sheetViews>
  <sheetFormatPr defaultColWidth="11.453125" defaultRowHeight="13" x14ac:dyDescent="0.3"/>
  <cols>
    <col min="1" max="1" width="8" style="18" customWidth="1"/>
    <col min="2" max="2" width="17.54296875" style="18" customWidth="1"/>
    <col min="3" max="3" width="45.453125" style="18" customWidth="1"/>
    <col min="4" max="4" width="22.90625" style="18" customWidth="1"/>
    <col min="5" max="5" width="24.6328125" style="18" customWidth="1"/>
    <col min="6" max="6" width="16.6328125" style="18" customWidth="1"/>
    <col min="7" max="16384" width="11.453125" style="18"/>
  </cols>
  <sheetData>
    <row r="1" spans="1:9" ht="34.5" customHeight="1" x14ac:dyDescent="0.3">
      <c r="A1" s="128" t="s">
        <v>133</v>
      </c>
      <c r="B1" s="128"/>
      <c r="C1" s="129" t="s">
        <v>134</v>
      </c>
      <c r="D1" s="129"/>
      <c r="E1" s="129"/>
    </row>
    <row r="2" spans="1:9" hidden="1" x14ac:dyDescent="0.3"/>
    <row r="3" spans="1:9" ht="13.5" thickBot="1" x14ac:dyDescent="0.35">
      <c r="A3" s="134" t="s">
        <v>135</v>
      </c>
      <c r="B3" s="134"/>
      <c r="C3" s="134"/>
      <c r="D3" s="130" t="s">
        <v>136</v>
      </c>
      <c r="E3" s="130"/>
      <c r="F3" s="17"/>
      <c r="G3" s="17"/>
      <c r="H3" s="17"/>
      <c r="I3" s="17"/>
    </row>
    <row r="4" spans="1:9" x14ac:dyDescent="0.3">
      <c r="A4" s="82" t="s">
        <v>137</v>
      </c>
      <c r="B4" s="83" t="s">
        <v>12</v>
      </c>
      <c r="C4" s="83" t="s">
        <v>138</v>
      </c>
      <c r="D4" s="83" t="s">
        <v>139</v>
      </c>
      <c r="E4" s="83" t="s">
        <v>140</v>
      </c>
      <c r="F4" s="131" t="s">
        <v>141</v>
      </c>
      <c r="G4" s="17"/>
      <c r="H4" s="17"/>
      <c r="I4" s="17"/>
    </row>
    <row r="5" spans="1:9" x14ac:dyDescent="0.3">
      <c r="A5" s="84">
        <v>1</v>
      </c>
      <c r="B5" s="85" t="s">
        <v>142</v>
      </c>
      <c r="C5" s="51" t="s">
        <v>143</v>
      </c>
      <c r="D5" s="51">
        <v>500</v>
      </c>
      <c r="E5" s="51">
        <v>2.5</v>
      </c>
      <c r="F5" s="132"/>
      <c r="G5" s="17"/>
      <c r="H5" s="17"/>
      <c r="I5" s="17"/>
    </row>
    <row r="6" spans="1:9" x14ac:dyDescent="0.3">
      <c r="A6" s="84">
        <v>2</v>
      </c>
      <c r="B6" s="85" t="s">
        <v>144</v>
      </c>
      <c r="C6" s="51" t="s">
        <v>145</v>
      </c>
      <c r="D6" s="51">
        <v>320</v>
      </c>
      <c r="E6" s="51">
        <v>2.5</v>
      </c>
      <c r="F6" s="132"/>
      <c r="G6" s="17"/>
      <c r="H6" s="17"/>
      <c r="I6" s="17"/>
    </row>
    <row r="7" spans="1:9" x14ac:dyDescent="0.3">
      <c r="A7" s="84">
        <v>3</v>
      </c>
      <c r="B7" s="85" t="s">
        <v>146</v>
      </c>
      <c r="C7" s="51" t="s">
        <v>147</v>
      </c>
      <c r="D7" s="51">
        <v>650</v>
      </c>
      <c r="E7" s="51">
        <v>2.5</v>
      </c>
      <c r="F7" s="132"/>
      <c r="G7" s="17"/>
      <c r="H7" s="17"/>
      <c r="I7" s="17"/>
    </row>
    <row r="8" spans="1:9" x14ac:dyDescent="0.3">
      <c r="A8" s="84">
        <v>4</v>
      </c>
      <c r="B8" s="86" t="s">
        <v>148</v>
      </c>
      <c r="C8" s="87" t="s">
        <v>149</v>
      </c>
      <c r="D8" s="87">
        <v>8000</v>
      </c>
      <c r="E8" s="87">
        <v>10</v>
      </c>
      <c r="F8" s="132"/>
      <c r="G8" s="17"/>
      <c r="H8" s="17"/>
      <c r="I8" s="17"/>
    </row>
    <row r="9" spans="1:9" x14ac:dyDescent="0.3">
      <c r="A9" s="84">
        <v>5</v>
      </c>
      <c r="B9" s="85" t="s">
        <v>150</v>
      </c>
      <c r="C9" s="51" t="s">
        <v>151</v>
      </c>
      <c r="D9" s="51">
        <v>420000</v>
      </c>
      <c r="E9" s="51">
        <v>10</v>
      </c>
      <c r="F9" s="132"/>
      <c r="G9" s="17"/>
      <c r="H9" s="17"/>
      <c r="I9" s="17"/>
    </row>
    <row r="10" spans="1:9" x14ac:dyDescent="0.3">
      <c r="A10" s="84">
        <v>6</v>
      </c>
      <c r="B10" s="85" t="s">
        <v>97</v>
      </c>
      <c r="C10" s="51" t="s">
        <v>152</v>
      </c>
      <c r="D10" s="51">
        <v>380000</v>
      </c>
      <c r="E10" s="51">
        <v>10</v>
      </c>
      <c r="F10" s="132"/>
      <c r="G10" s="17"/>
      <c r="H10" s="17"/>
      <c r="I10" s="17"/>
    </row>
    <row r="11" spans="1:9" x14ac:dyDescent="0.3">
      <c r="A11" s="84">
        <v>7</v>
      </c>
      <c r="B11" s="85" t="s">
        <v>153</v>
      </c>
      <c r="C11" s="51" t="s">
        <v>154</v>
      </c>
      <c r="D11" s="51">
        <v>270000</v>
      </c>
      <c r="E11" s="51">
        <v>10</v>
      </c>
      <c r="F11" s="132"/>
      <c r="G11" s="17"/>
      <c r="H11" s="17"/>
      <c r="I11" s="17"/>
    </row>
    <row r="12" spans="1:9" x14ac:dyDescent="0.3">
      <c r="A12" s="88">
        <v>8</v>
      </c>
      <c r="B12" s="86" t="s">
        <v>116</v>
      </c>
      <c r="C12" s="51" t="s">
        <v>155</v>
      </c>
      <c r="D12" s="87">
        <v>187000</v>
      </c>
      <c r="E12" s="87">
        <v>10</v>
      </c>
      <c r="F12" s="132"/>
      <c r="G12" s="17"/>
      <c r="H12" s="17"/>
      <c r="I12" s="17"/>
    </row>
    <row r="13" spans="1:9" x14ac:dyDescent="0.3">
      <c r="A13" s="84">
        <v>9</v>
      </c>
      <c r="B13" s="89" t="s">
        <v>106</v>
      </c>
      <c r="C13" s="87" t="s">
        <v>156</v>
      </c>
      <c r="D13" s="87">
        <v>85000</v>
      </c>
      <c r="E13" s="87">
        <v>10</v>
      </c>
      <c r="F13" s="132"/>
      <c r="G13" s="17"/>
      <c r="H13" s="17"/>
      <c r="I13" s="17"/>
    </row>
    <row r="14" spans="1:9" x14ac:dyDescent="0.3">
      <c r="A14" s="88">
        <v>10</v>
      </c>
      <c r="B14" s="89" t="s">
        <v>103</v>
      </c>
      <c r="C14" s="87" t="s">
        <v>157</v>
      </c>
      <c r="D14" s="87">
        <v>60000</v>
      </c>
      <c r="E14" s="87">
        <v>10</v>
      </c>
      <c r="F14" s="132"/>
      <c r="G14" s="17"/>
      <c r="H14" s="17"/>
      <c r="I14" s="17"/>
    </row>
    <row r="15" spans="1:9" x14ac:dyDescent="0.3">
      <c r="A15" s="84">
        <v>11</v>
      </c>
      <c r="B15" s="89" t="s">
        <v>4</v>
      </c>
      <c r="C15" s="87" t="s">
        <v>158</v>
      </c>
      <c r="D15" s="87">
        <v>65000</v>
      </c>
      <c r="E15" s="87">
        <v>10</v>
      </c>
      <c r="F15" s="132"/>
      <c r="G15" s="17"/>
      <c r="H15" s="17"/>
      <c r="I15" s="17"/>
    </row>
    <row r="16" spans="1:9" ht="13.5" thickBot="1" x14ac:dyDescent="0.35">
      <c r="A16" s="90">
        <v>12</v>
      </c>
      <c r="B16" s="91" t="s">
        <v>159</v>
      </c>
      <c r="C16" s="92" t="s">
        <v>160</v>
      </c>
      <c r="D16" s="92">
        <v>500000</v>
      </c>
      <c r="E16" s="92">
        <v>10</v>
      </c>
      <c r="F16" s="133"/>
      <c r="G16" s="17"/>
      <c r="H16" s="17"/>
      <c r="I16" s="17"/>
    </row>
    <row r="17" spans="1:9" ht="13.5" thickBot="1" x14ac:dyDescent="0.35">
      <c r="A17" s="90">
        <v>13</v>
      </c>
      <c r="B17" s="113" t="s">
        <v>5</v>
      </c>
      <c r="C17" s="114" t="s">
        <v>213</v>
      </c>
      <c r="D17" s="114">
        <v>200000</v>
      </c>
      <c r="E17" s="115">
        <v>10</v>
      </c>
      <c r="F17" s="112"/>
      <c r="G17" s="17"/>
      <c r="H17" s="17"/>
      <c r="I17" s="17"/>
    </row>
    <row r="18" spans="1:9" ht="13.5" thickBot="1" x14ac:dyDescent="0.35">
      <c r="A18" s="90">
        <v>14</v>
      </c>
      <c r="B18" s="113" t="s">
        <v>215</v>
      </c>
      <c r="C18" s="114" t="s">
        <v>213</v>
      </c>
      <c r="D18" s="114">
        <v>50000</v>
      </c>
      <c r="E18" s="115">
        <v>10</v>
      </c>
      <c r="F18" s="112"/>
      <c r="G18" s="17"/>
      <c r="H18" s="17"/>
      <c r="I18" s="17"/>
    </row>
    <row r="19" spans="1:9" x14ac:dyDescent="0.3">
      <c r="A19" s="13"/>
      <c r="B19" s="13"/>
      <c r="C19" s="13"/>
      <c r="D19" s="13"/>
      <c r="E19" s="13"/>
      <c r="F19" s="17"/>
      <c r="G19" s="17"/>
      <c r="H19" s="17"/>
      <c r="I19" s="17"/>
    </row>
    <row r="20" spans="1:9" x14ac:dyDescent="0.3">
      <c r="A20" s="8"/>
      <c r="B20" s="13"/>
      <c r="C20" s="125" t="s">
        <v>161</v>
      </c>
      <c r="D20" s="126"/>
      <c r="E20" s="127"/>
      <c r="F20" s="17"/>
      <c r="G20" s="17"/>
      <c r="H20" s="17"/>
      <c r="I20" s="17"/>
    </row>
    <row r="21" spans="1:9" x14ac:dyDescent="0.3">
      <c r="A21" s="19"/>
      <c r="B21" s="13"/>
      <c r="C21" s="93" t="s">
        <v>138</v>
      </c>
      <c r="D21" s="93" t="s">
        <v>162</v>
      </c>
      <c r="E21" s="93" t="s">
        <v>163</v>
      </c>
      <c r="F21" s="17"/>
      <c r="G21" s="17"/>
      <c r="H21" s="17"/>
      <c r="I21" s="17"/>
    </row>
    <row r="22" spans="1:9" x14ac:dyDescent="0.3">
      <c r="A22" s="19"/>
      <c r="B22" s="13"/>
      <c r="C22" s="20" t="s">
        <v>164</v>
      </c>
      <c r="D22" s="37" t="s">
        <v>165</v>
      </c>
      <c r="E22" s="21">
        <v>1.825</v>
      </c>
      <c r="F22" s="124"/>
      <c r="G22" s="124"/>
      <c r="H22" s="124"/>
      <c r="I22" s="124"/>
    </row>
    <row r="23" spans="1:9" ht="14.25" customHeight="1" x14ac:dyDescent="0.3">
      <c r="A23" s="19"/>
      <c r="B23" s="13"/>
      <c r="C23" s="20" t="s">
        <v>166</v>
      </c>
      <c r="D23" s="37" t="s">
        <v>167</v>
      </c>
      <c r="E23" s="22">
        <v>0.1</v>
      </c>
      <c r="F23" s="17"/>
      <c r="G23" s="17"/>
      <c r="H23" s="17"/>
      <c r="I23" s="17"/>
    </row>
    <row r="24" spans="1:9" ht="26" x14ac:dyDescent="0.3">
      <c r="A24" s="19"/>
      <c r="B24" s="13"/>
      <c r="C24" s="20" t="s">
        <v>168</v>
      </c>
      <c r="D24" s="37" t="s">
        <v>167</v>
      </c>
      <c r="E24" s="22">
        <v>0.12</v>
      </c>
      <c r="F24" s="17"/>
      <c r="G24" s="17"/>
      <c r="H24" s="17"/>
      <c r="I24" s="17"/>
    </row>
    <row r="25" spans="1:9" ht="18.75" customHeight="1" x14ac:dyDescent="0.3">
      <c r="A25" s="19"/>
      <c r="B25" s="13"/>
      <c r="C25" s="9" t="s">
        <v>169</v>
      </c>
      <c r="D25" s="37" t="s">
        <v>170</v>
      </c>
      <c r="E25" s="16">
        <v>365</v>
      </c>
      <c r="F25" s="17"/>
      <c r="G25" s="17"/>
      <c r="H25" s="17"/>
      <c r="I25" s="17"/>
    </row>
    <row r="26" spans="1:9" x14ac:dyDescent="0.3">
      <c r="A26" s="19"/>
      <c r="B26" s="13"/>
      <c r="C26" s="20" t="s">
        <v>171</v>
      </c>
      <c r="D26" s="37" t="s">
        <v>167</v>
      </c>
      <c r="E26" s="22">
        <v>0.32</v>
      </c>
      <c r="F26" s="17"/>
      <c r="G26" s="17"/>
      <c r="H26" s="17"/>
      <c r="I26" s="17"/>
    </row>
    <row r="27" spans="1:9" ht="32.25" customHeight="1" x14ac:dyDescent="0.3">
      <c r="A27" s="19"/>
      <c r="B27" s="13"/>
      <c r="C27" s="23" t="s">
        <v>172</v>
      </c>
      <c r="D27" s="16" t="s">
        <v>167</v>
      </c>
      <c r="E27" s="22">
        <v>0.2</v>
      </c>
      <c r="F27" s="17"/>
      <c r="G27" s="17"/>
      <c r="H27" s="17"/>
      <c r="I27" s="17"/>
    </row>
    <row r="28" spans="1:9" ht="21" customHeight="1" x14ac:dyDescent="0.3">
      <c r="A28" s="19"/>
      <c r="B28" s="13"/>
      <c r="C28" s="28" t="s">
        <v>173</v>
      </c>
      <c r="D28" s="16" t="s">
        <v>167</v>
      </c>
      <c r="E28" s="22">
        <v>0.3</v>
      </c>
      <c r="F28" s="17"/>
      <c r="G28" s="17"/>
      <c r="H28" s="17"/>
      <c r="I28" s="17"/>
    </row>
    <row r="29" spans="1:9" x14ac:dyDescent="0.3">
      <c r="A29" s="19"/>
      <c r="B29" s="13"/>
      <c r="C29" s="13"/>
      <c r="D29" s="13"/>
      <c r="E29" s="13"/>
      <c r="F29" s="17"/>
      <c r="G29" s="17"/>
      <c r="H29" s="17"/>
      <c r="I29" s="17"/>
    </row>
    <row r="30" spans="1:9" x14ac:dyDescent="0.3">
      <c r="A30" s="19"/>
      <c r="B30" s="13"/>
      <c r="C30" s="125" t="s">
        <v>82</v>
      </c>
      <c r="D30" s="126"/>
      <c r="E30" s="127"/>
      <c r="F30" s="17"/>
      <c r="G30" s="17"/>
      <c r="H30" s="17"/>
      <c r="I30" s="17"/>
    </row>
    <row r="31" spans="1:9" x14ac:dyDescent="0.3">
      <c r="A31" s="19"/>
      <c r="B31" s="13"/>
      <c r="C31" s="93" t="s">
        <v>138</v>
      </c>
      <c r="D31" s="93" t="s">
        <v>174</v>
      </c>
      <c r="E31" s="93" t="s">
        <v>163</v>
      </c>
      <c r="F31" s="17"/>
      <c r="G31" s="17"/>
      <c r="H31" s="17"/>
      <c r="I31" s="17"/>
    </row>
    <row r="32" spans="1:9" ht="40.5" customHeight="1" x14ac:dyDescent="0.3">
      <c r="A32" s="19"/>
      <c r="B32" s="13"/>
      <c r="C32" s="9" t="s">
        <v>175</v>
      </c>
      <c r="D32" s="37" t="s">
        <v>176</v>
      </c>
      <c r="E32" s="16">
        <v>10500</v>
      </c>
      <c r="F32" s="17"/>
      <c r="G32" s="17"/>
      <c r="H32" s="17"/>
      <c r="I32" s="17"/>
    </row>
    <row r="33" spans="1:9" ht="25.5" customHeight="1" x14ac:dyDescent="0.3">
      <c r="A33" s="19"/>
      <c r="B33" s="13"/>
      <c r="C33" s="9" t="s">
        <v>177</v>
      </c>
      <c r="D33" s="37" t="s">
        <v>176</v>
      </c>
      <c r="E33" s="16">
        <v>5050</v>
      </c>
      <c r="F33" s="17"/>
      <c r="G33" s="17"/>
      <c r="H33" s="17"/>
      <c r="I33" s="17"/>
    </row>
    <row r="34" spans="1:9" x14ac:dyDescent="0.3">
      <c r="A34" s="19"/>
      <c r="B34" s="13"/>
      <c r="C34" s="9" t="s">
        <v>178</v>
      </c>
      <c r="D34" s="37" t="s">
        <v>176</v>
      </c>
      <c r="E34" s="16">
        <v>6000</v>
      </c>
      <c r="F34" s="17"/>
      <c r="G34" s="17"/>
      <c r="H34" s="17"/>
      <c r="I34" s="17"/>
    </row>
    <row r="35" spans="1:9" x14ac:dyDescent="0.3">
      <c r="A35" s="13"/>
      <c r="B35" s="13"/>
      <c r="C35" s="109" t="s">
        <v>179</v>
      </c>
      <c r="D35" s="37" t="s">
        <v>180</v>
      </c>
      <c r="E35" s="16">
        <f>53+30+12</f>
        <v>95</v>
      </c>
      <c r="F35" s="17"/>
      <c r="G35" s="17"/>
      <c r="H35" s="17"/>
      <c r="I35" s="17"/>
    </row>
    <row r="36" spans="1:9" x14ac:dyDescent="0.3">
      <c r="A36" s="13"/>
      <c r="B36" s="13"/>
      <c r="C36" s="109" t="s">
        <v>181</v>
      </c>
      <c r="D36" s="37" t="s">
        <v>182</v>
      </c>
      <c r="E36" s="24">
        <v>1.26</v>
      </c>
      <c r="F36" s="17"/>
      <c r="G36" s="17"/>
      <c r="H36" s="17"/>
      <c r="I36" s="17"/>
    </row>
    <row r="37" spans="1:9" x14ac:dyDescent="0.3">
      <c r="A37" s="13"/>
      <c r="B37" s="13"/>
      <c r="C37" s="109" t="s">
        <v>183</v>
      </c>
      <c r="D37" s="37" t="s">
        <v>182</v>
      </c>
      <c r="E37" s="24">
        <v>1.22</v>
      </c>
      <c r="F37" s="17"/>
      <c r="G37" s="27"/>
      <c r="H37" s="17"/>
      <c r="I37" s="17"/>
    </row>
    <row r="38" spans="1:9" ht="9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3">
      <c r="C39" s="109" t="s">
        <v>184</v>
      </c>
      <c r="D39" s="16" t="s">
        <v>176</v>
      </c>
      <c r="E39" s="37">
        <v>400</v>
      </c>
    </row>
    <row r="40" spans="1:9" x14ac:dyDescent="0.3">
      <c r="C40" s="109" t="s">
        <v>185</v>
      </c>
      <c r="D40" s="16" t="s">
        <v>176</v>
      </c>
      <c r="E40" s="37">
        <v>340</v>
      </c>
    </row>
    <row r="41" spans="1:9" x14ac:dyDescent="0.3">
      <c r="C41" s="109" t="s">
        <v>186</v>
      </c>
      <c r="D41" s="16" t="s">
        <v>187</v>
      </c>
      <c r="E41" s="37">
        <v>1.26</v>
      </c>
    </row>
    <row r="42" spans="1:9" x14ac:dyDescent="0.3">
      <c r="C42" s="25" t="s">
        <v>188</v>
      </c>
      <c r="D42" s="37" t="s">
        <v>189</v>
      </c>
      <c r="E42" s="37">
        <v>0</v>
      </c>
    </row>
    <row r="44" spans="1:9" x14ac:dyDescent="0.3">
      <c r="C44" s="123" t="s">
        <v>190</v>
      </c>
      <c r="D44" s="123"/>
      <c r="E44" s="123"/>
    </row>
    <row r="45" spans="1:9" x14ac:dyDescent="0.3">
      <c r="C45" s="93" t="s">
        <v>191</v>
      </c>
      <c r="D45" s="93" t="s">
        <v>192</v>
      </c>
      <c r="E45" s="93" t="s">
        <v>193</v>
      </c>
    </row>
    <row r="46" spans="1:9" x14ac:dyDescent="0.3">
      <c r="C46" s="25" t="s">
        <v>97</v>
      </c>
      <c r="D46" s="37" t="s">
        <v>194</v>
      </c>
      <c r="E46" s="37">
        <v>32</v>
      </c>
    </row>
    <row r="47" spans="1:9" x14ac:dyDescent="0.3">
      <c r="C47" s="25" t="s">
        <v>195</v>
      </c>
      <c r="D47" s="37" t="s">
        <v>194</v>
      </c>
      <c r="E47" s="37">
        <v>22</v>
      </c>
    </row>
    <row r="48" spans="1:9" x14ac:dyDescent="0.3">
      <c r="C48" s="25" t="s">
        <v>116</v>
      </c>
      <c r="D48" s="37" t="s">
        <v>194</v>
      </c>
      <c r="E48" s="37">
        <v>18</v>
      </c>
    </row>
    <row r="49" spans="3:5" x14ac:dyDescent="0.3">
      <c r="C49" s="25" t="s">
        <v>196</v>
      </c>
      <c r="D49" s="37" t="s">
        <v>194</v>
      </c>
      <c r="E49" s="37">
        <v>15</v>
      </c>
    </row>
    <row r="50" spans="3:5" x14ac:dyDescent="0.3">
      <c r="C50" s="25" t="s">
        <v>197</v>
      </c>
      <c r="D50" s="37" t="s">
        <v>194</v>
      </c>
      <c r="E50" s="37">
        <v>20</v>
      </c>
    </row>
    <row r="51" spans="3:5" x14ac:dyDescent="0.3">
      <c r="C51" s="25" t="s">
        <v>198</v>
      </c>
      <c r="D51" s="37" t="s">
        <v>194</v>
      </c>
      <c r="E51" s="37">
        <v>35</v>
      </c>
    </row>
    <row r="52" spans="3:5" x14ac:dyDescent="0.3">
      <c r="C52" s="25" t="s">
        <v>199</v>
      </c>
      <c r="D52" s="37" t="s">
        <v>194</v>
      </c>
      <c r="E52" s="37">
        <v>10</v>
      </c>
    </row>
    <row r="53" spans="3:5" x14ac:dyDescent="0.3">
      <c r="C53" s="25" t="s">
        <v>103</v>
      </c>
      <c r="D53" s="37" t="s">
        <v>194</v>
      </c>
      <c r="E53" s="37">
        <v>10</v>
      </c>
    </row>
    <row r="55" spans="3:5" ht="15" customHeight="1" x14ac:dyDescent="0.3">
      <c r="C55" s="123" t="s">
        <v>200</v>
      </c>
      <c r="D55" s="123"/>
      <c r="E55" s="123"/>
    </row>
    <row r="56" spans="3:5" ht="15" customHeight="1" x14ac:dyDescent="0.3">
      <c r="C56" s="93" t="s">
        <v>201</v>
      </c>
      <c r="D56" s="93" t="s">
        <v>162</v>
      </c>
      <c r="E56" s="93" t="s">
        <v>202</v>
      </c>
    </row>
    <row r="57" spans="3:5" ht="15" customHeight="1" x14ac:dyDescent="0.3">
      <c r="C57" s="25" t="s">
        <v>203</v>
      </c>
      <c r="D57" s="37" t="s">
        <v>204</v>
      </c>
      <c r="E57" s="37">
        <v>0.2</v>
      </c>
    </row>
    <row r="58" spans="3:5" ht="15" customHeight="1" x14ac:dyDescent="0.3">
      <c r="C58" s="25" t="s">
        <v>205</v>
      </c>
      <c r="D58" s="37" t="s">
        <v>204</v>
      </c>
      <c r="E58" s="37">
        <v>0.5</v>
      </c>
    </row>
    <row r="59" spans="3:5" ht="15" customHeight="1" x14ac:dyDescent="0.3">
      <c r="C59" s="25" t="s">
        <v>206</v>
      </c>
      <c r="D59" s="37" t="s">
        <v>204</v>
      </c>
      <c r="E59" s="37">
        <v>0.35</v>
      </c>
    </row>
    <row r="60" spans="3:5" ht="15" customHeight="1" x14ac:dyDescent="0.3">
      <c r="C60" s="25" t="s">
        <v>207</v>
      </c>
      <c r="D60" s="37" t="s">
        <v>204</v>
      </c>
      <c r="E60" s="37">
        <v>0.2</v>
      </c>
    </row>
    <row r="61" spans="3:5" ht="15" customHeight="1" x14ac:dyDescent="0.3">
      <c r="C61" s="25" t="s">
        <v>157</v>
      </c>
      <c r="D61" s="37" t="s">
        <v>204</v>
      </c>
      <c r="E61" s="37">
        <v>0.2</v>
      </c>
    </row>
    <row r="62" spans="3:5" ht="15" customHeight="1" x14ac:dyDescent="0.3">
      <c r="C62" s="25" t="s">
        <v>208</v>
      </c>
      <c r="D62" s="37" t="s">
        <v>204</v>
      </c>
      <c r="E62" s="37">
        <v>0.3</v>
      </c>
    </row>
    <row r="63" spans="3:5" ht="12" customHeight="1" x14ac:dyDescent="0.3"/>
    <row r="66" spans="3:6" x14ac:dyDescent="0.3">
      <c r="C66" s="98"/>
      <c r="D66" s="98"/>
    </row>
    <row r="69" spans="3:6" x14ac:dyDescent="0.3">
      <c r="C69" s="93" t="s">
        <v>209</v>
      </c>
      <c r="D69" s="93" t="s">
        <v>210</v>
      </c>
      <c r="E69" s="93" t="s">
        <v>211</v>
      </c>
      <c r="F69" s="93" t="s">
        <v>212</v>
      </c>
    </row>
    <row r="70" spans="3:6" x14ac:dyDescent="0.3">
      <c r="C70" s="94" t="s">
        <v>96</v>
      </c>
      <c r="D70" s="94" t="s">
        <v>97</v>
      </c>
      <c r="E70" s="95">
        <v>0</v>
      </c>
      <c r="F70" s="95">
        <v>0</v>
      </c>
    </row>
    <row r="71" spans="3:6" x14ac:dyDescent="0.3">
      <c r="C71" s="96" t="s">
        <v>100</v>
      </c>
      <c r="D71" s="97" t="s">
        <v>97</v>
      </c>
      <c r="E71" s="95">
        <v>0</v>
      </c>
      <c r="F71" s="95">
        <v>0</v>
      </c>
    </row>
    <row r="72" spans="3:6" x14ac:dyDescent="0.3">
      <c r="C72" s="94" t="s">
        <v>102</v>
      </c>
      <c r="D72" s="97" t="s">
        <v>103</v>
      </c>
      <c r="E72" s="95">
        <v>0</v>
      </c>
      <c r="F72" s="95">
        <v>0</v>
      </c>
    </row>
    <row r="73" spans="3:6" x14ac:dyDescent="0.3">
      <c r="C73" s="96" t="s">
        <v>105</v>
      </c>
      <c r="D73" s="97" t="s">
        <v>106</v>
      </c>
      <c r="E73" s="95">
        <v>0</v>
      </c>
      <c r="F73" s="95">
        <v>0</v>
      </c>
    </row>
    <row r="74" spans="3:6" x14ac:dyDescent="0.3">
      <c r="C74" s="94" t="s">
        <v>108</v>
      </c>
      <c r="D74" s="97" t="s">
        <v>103</v>
      </c>
      <c r="E74" s="95">
        <v>0</v>
      </c>
      <c r="F74" s="95">
        <v>0</v>
      </c>
    </row>
    <row r="75" spans="3:6" x14ac:dyDescent="0.3">
      <c r="C75" s="96" t="s">
        <v>111</v>
      </c>
      <c r="D75" s="97" t="s">
        <v>106</v>
      </c>
      <c r="E75" s="95">
        <v>0</v>
      </c>
      <c r="F75" s="95">
        <v>0</v>
      </c>
    </row>
    <row r="76" spans="3:6" x14ac:dyDescent="0.3">
      <c r="C76" s="94" t="s">
        <v>113</v>
      </c>
      <c r="D76" s="97" t="s">
        <v>106</v>
      </c>
      <c r="E76" s="95">
        <v>0</v>
      </c>
      <c r="F76" s="95">
        <v>0</v>
      </c>
    </row>
    <row r="77" spans="3:6" x14ac:dyDescent="0.3">
      <c r="C77" s="96" t="s">
        <v>115</v>
      </c>
      <c r="D77" s="97" t="s">
        <v>116</v>
      </c>
      <c r="E77" s="95">
        <v>0</v>
      </c>
      <c r="F77" s="95">
        <v>0</v>
      </c>
    </row>
    <row r="78" spans="3:6" x14ac:dyDescent="0.3">
      <c r="C78" s="94" t="s">
        <v>119</v>
      </c>
      <c r="D78" s="97" t="s">
        <v>106</v>
      </c>
      <c r="E78" s="95">
        <v>0</v>
      </c>
      <c r="F78" s="95">
        <v>0</v>
      </c>
    </row>
    <row r="79" spans="3:6" x14ac:dyDescent="0.3">
      <c r="C79" s="96" t="s">
        <v>121</v>
      </c>
      <c r="D79" s="97" t="s">
        <v>116</v>
      </c>
      <c r="E79" s="95">
        <v>0</v>
      </c>
      <c r="F79" s="95">
        <v>0</v>
      </c>
    </row>
    <row r="80" spans="3:6" x14ac:dyDescent="0.3">
      <c r="C80" s="94" t="s">
        <v>123</v>
      </c>
      <c r="D80" s="97" t="s">
        <v>103</v>
      </c>
      <c r="E80" s="95">
        <v>0</v>
      </c>
      <c r="F80" s="95">
        <v>0</v>
      </c>
    </row>
    <row r="81" spans="3:6" x14ac:dyDescent="0.3">
      <c r="C81" s="96" t="s">
        <v>125</v>
      </c>
      <c r="D81" s="97" t="s">
        <v>103</v>
      </c>
      <c r="E81" s="95">
        <v>0</v>
      </c>
      <c r="F81" s="95">
        <v>0</v>
      </c>
    </row>
    <row r="82" spans="3:6" x14ac:dyDescent="0.3">
      <c r="C82" s="94" t="s">
        <v>127</v>
      </c>
      <c r="D82" s="97" t="s">
        <v>106</v>
      </c>
      <c r="E82" s="95">
        <v>0</v>
      </c>
      <c r="F82" s="95">
        <v>0</v>
      </c>
    </row>
    <row r="83" spans="3:6" x14ac:dyDescent="0.3">
      <c r="C83" s="25"/>
      <c r="D83" s="95" t="s">
        <v>5</v>
      </c>
      <c r="E83" s="95">
        <v>0</v>
      </c>
      <c r="F83" s="95">
        <v>0</v>
      </c>
    </row>
    <row r="84" spans="3:6" x14ac:dyDescent="0.3">
      <c r="C84" s="25"/>
      <c r="D84" s="95" t="s">
        <v>4</v>
      </c>
      <c r="E84" s="95">
        <v>0</v>
      </c>
      <c r="F84" s="95">
        <v>0</v>
      </c>
    </row>
  </sheetData>
  <mergeCells count="10">
    <mergeCell ref="C55:E55"/>
    <mergeCell ref="C44:E44"/>
    <mergeCell ref="F22:I22"/>
    <mergeCell ref="C30:E30"/>
    <mergeCell ref="A1:B1"/>
    <mergeCell ref="C1:E1"/>
    <mergeCell ref="D3:E3"/>
    <mergeCell ref="C20:E20"/>
    <mergeCell ref="F4:F16"/>
    <mergeCell ref="A3:C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b5b372d1-fc43-44c4-aae8-a9836b62b5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F6E358B5C4441A2DC27A2F37CBADA" ma:contentTypeVersion="15" ma:contentTypeDescription="Create a new document." ma:contentTypeScope="" ma:versionID="5326fa4bf8e7da76fe084781e07b7d22">
  <xsd:schema xmlns:xsd="http://www.w3.org/2001/XMLSchema" xmlns:xs="http://www.w3.org/2001/XMLSchema" xmlns:p="http://schemas.microsoft.com/office/2006/metadata/properties" xmlns:ns1="http://schemas.microsoft.com/sharepoint/v3" xmlns:ns2="b5b372d1-fc43-44c4-aae8-a9836b62b5eb" xmlns:ns3="ebe48083-fedf-4221-8e1b-4bcc73869083" targetNamespace="http://schemas.microsoft.com/office/2006/metadata/properties" ma:root="true" ma:fieldsID="03c941b9828c1b000f5d8aaa0cbb9cee" ns1:_="" ns2:_="" ns3:_="">
    <xsd:import namespace="http://schemas.microsoft.com/sharepoint/v3"/>
    <xsd:import namespace="b5b372d1-fc43-44c4-aae8-a9836b62b5eb"/>
    <xsd:import namespace="ebe48083-fedf-4221-8e1b-4bcc738690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372d1-fc43-44c4-aae8-a9836b62b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48083-fedf-4221-8e1b-4bcc738690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AEE69-ABAC-47A5-990A-094500035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31F62B-0C37-4935-957B-6431E51A7801}">
  <ds:schemaRefs>
    <ds:schemaRef ds:uri="b5b372d1-fc43-44c4-aae8-a9836b62b5eb"/>
    <ds:schemaRef ds:uri="ebe48083-fedf-4221-8e1b-4bcc73869083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660F462-995C-4F11-9D08-0D989BE6B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b372d1-fc43-44c4-aae8-a9836b62b5eb"/>
    <ds:schemaRef ds:uri="ebe48083-fedf-4221-8e1b-4bcc738690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</vt:lpstr>
      <vt:lpstr>Bdd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 Ali</dc:creator>
  <cp:keywords/>
  <dc:description/>
  <cp:lastModifiedBy>Berkuti, Cameron</cp:lastModifiedBy>
  <cp:revision/>
  <dcterms:created xsi:type="dcterms:W3CDTF">2017-12-25T15:33:30Z</dcterms:created>
  <dcterms:modified xsi:type="dcterms:W3CDTF">2021-04-12T12:18:11Z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0x010100E96F6E358B5C4441A2DC27A2F37CBADA</vt:lpwstr>
  </property>
</Properties>
</file>